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1" firstSheet="10" activeTab="11"/>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10.Grain Production details" sheetId="81" r:id="rId8"/>
    <sheet name="8.Cash Flow " sheetId="68" r:id="rId9"/>
    <sheet name="3.Other Exp &amp; Taxes" sheetId="22" r:id="rId10"/>
    <sheet name="9. Financial indiacators" sheetId="29" r:id="rId11"/>
    <sheet name="11.F&amp;V Crop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7">'10.Grain Production details'!$A$1:$H$114</definedName>
    <definedName name="_xlnm.Print_Area" localSheetId="11">'11.F&amp;V Crop Production details'!$A$1:$H$45</definedName>
    <definedName name="_xlnm.Print_Area" localSheetId="12">'12.Facility 1 - Trading'!$A$1:$J$308</definedName>
    <definedName name="_xlnm.Print_Area" localSheetId="17">'13.Facility 2 Grain Processing-'!$A$1:$H$69,'13.Facility 2 Grain Processing-'!$A$133:$P$377,'13.Facility 2 Grain Processing-'!$A$74:$J$129</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Details'!$A$1:$H$126</definedName>
    <definedName name="_xlnm.Print_Area" localSheetId="9">'3.Other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8">'8.Cash Flow '!$A$1:$J$38</definedName>
    <definedName name="_xlnm.Print_Area" localSheetId="10">'9.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5" i="83" l="1"/>
  <c r="M5" i="83" s="1"/>
  <c r="N5" i="83" s="1"/>
  <c r="O5" i="83" s="1"/>
  <c r="P5" i="83" s="1"/>
  <c r="K5" i="83"/>
  <c r="J5" i="83"/>
  <c r="J6" i="83"/>
  <c r="K6" i="83" s="1"/>
  <c r="L6" i="83" s="1"/>
  <c r="M6" i="83" s="1"/>
  <c r="N6" i="83" s="1"/>
  <c r="O6" i="83" s="1"/>
  <c r="P6" i="83" s="1"/>
  <c r="H34" i="83"/>
  <c r="G34" i="83"/>
  <c r="F34" i="83"/>
  <c r="E34" i="83"/>
  <c r="D34" i="83"/>
  <c r="C34" i="83"/>
  <c r="B34" i="83"/>
  <c r="H25" i="83"/>
  <c r="G25" i="83"/>
  <c r="F25" i="83"/>
  <c r="E25" i="83"/>
  <c r="D25" i="83"/>
  <c r="C25" i="83"/>
  <c r="B25" i="83"/>
  <c r="B16" i="84"/>
  <c r="G63" i="57"/>
  <c r="G61" i="57"/>
  <c r="G62" i="57"/>
  <c r="M64" i="57" l="1"/>
  <c r="I60" i="57"/>
  <c r="I59" i="57"/>
  <c r="I7" i="57"/>
  <c r="I6" i="57"/>
  <c r="C84" i="84"/>
  <c r="L376" i="84"/>
  <c r="L377" i="84" s="1"/>
  <c r="J84" i="84" s="1"/>
  <c r="G376" i="84"/>
  <c r="G377" i="84" s="1"/>
  <c r="E84" i="84" s="1"/>
  <c r="F376" i="84"/>
  <c r="H375" i="84"/>
  <c r="H376" i="84" l="1"/>
  <c r="H377" i="84" s="1"/>
  <c r="F84" i="84" s="1"/>
  <c r="F377" i="84"/>
  <c r="D84" i="84" s="1"/>
  <c r="I375" i="84"/>
  <c r="J375" i="84" l="1"/>
  <c r="J376" i="84" s="1"/>
  <c r="J377" i="84" s="1"/>
  <c r="H84" i="84" s="1"/>
  <c r="I376" i="84"/>
  <c r="I377" i="84"/>
  <c r="G84" i="84" s="1"/>
  <c r="K375" i="84" l="1"/>
  <c r="K376" i="84" s="1"/>
  <c r="K377" i="84" s="1"/>
  <c r="I84" i="84" s="1"/>
  <c r="AF47" i="61" l="1"/>
  <c r="K208" i="85"/>
  <c r="G64" i="57"/>
  <c r="I64" i="57" s="1"/>
  <c r="G60" i="57" l="1"/>
  <c r="C32" i="83"/>
  <c r="D32" i="83" s="1"/>
  <c r="E32" i="83" s="1"/>
  <c r="F32" i="83" s="1"/>
  <c r="G32" i="83" s="1"/>
  <c r="H32" i="83" s="1"/>
  <c r="C23" i="83"/>
  <c r="D23" i="83" s="1"/>
  <c r="E23" i="83" s="1"/>
  <c r="F23" i="83" s="1"/>
  <c r="G23" i="83" s="1"/>
  <c r="H23" i="83" s="1"/>
  <c r="B27" i="83"/>
  <c r="A25" i="83"/>
  <c r="F6" i="57" l="1"/>
  <c r="G59" i="57" l="1"/>
  <c r="D124" i="84"/>
  <c r="D123" i="84"/>
  <c r="C122" i="84"/>
  <c r="D122" i="84" s="1"/>
  <c r="D121" i="84"/>
  <c r="D120" i="84"/>
  <c r="D119" i="84"/>
  <c r="I32" i="84"/>
  <c r="C152" i="84"/>
  <c r="B151" i="84"/>
  <c r="C226" i="84"/>
  <c r="B220" i="84"/>
  <c r="B206" i="84"/>
  <c r="C206" i="84"/>
  <c r="B195" i="84"/>
  <c r="C196" i="84"/>
  <c r="C190" i="84"/>
  <c r="I43" i="84"/>
  <c r="B66" i="84"/>
  <c r="A43" i="84"/>
  <c r="C203" i="84" l="1"/>
  <c r="A33" i="84"/>
  <c r="A32" i="84"/>
  <c r="M127" i="84" l="1"/>
  <c r="F7" i="57"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A39" i="69"/>
  <c r="B8" i="68" s="1"/>
  <c r="K43" i="69"/>
  <c r="K41" i="69"/>
  <c r="K37" i="69"/>
  <c r="K36" i="69"/>
  <c r="K33" i="69"/>
  <c r="K31" i="69"/>
  <c r="K30" i="69"/>
  <c r="K27" i="69"/>
  <c r="K24" i="69"/>
  <c r="K23" i="69"/>
  <c r="K22" i="69"/>
  <c r="K20" i="69"/>
  <c r="K17" i="69"/>
  <c r="K13" i="69"/>
  <c r="K10" i="69"/>
  <c r="G112" i="29"/>
  <c r="F113" i="85" l="1"/>
  <c r="E206" i="84"/>
  <c r="E152" i="84"/>
  <c r="F150" i="85"/>
  <c r="F151" i="85"/>
  <c r="F146" i="85"/>
  <c r="F135" i="85"/>
  <c r="F136" i="85"/>
  <c r="F143" i="85"/>
  <c r="F142" i="85"/>
  <c r="Q85" i="22"/>
  <c r="G113" i="85" l="1"/>
  <c r="F152" i="84"/>
  <c r="F206" i="84"/>
  <c r="G150" i="85"/>
  <c r="G151" i="85"/>
  <c r="G146" i="85"/>
  <c r="G135" i="85"/>
  <c r="G136" i="85"/>
  <c r="G143" i="85"/>
  <c r="G142" i="85"/>
  <c r="B18" i="84"/>
  <c r="B19" i="84"/>
  <c r="H113" i="85" l="1"/>
  <c r="G152" i="84"/>
  <c r="G206" i="84"/>
  <c r="H150" i="85"/>
  <c r="H151" i="85"/>
  <c r="H146" i="85"/>
  <c r="H135" i="85"/>
  <c r="H136" i="85"/>
  <c r="H143" i="85"/>
  <c r="H142" i="85"/>
  <c r="C176" i="84"/>
  <c r="I113" i="85" l="1"/>
  <c r="H206" i="84"/>
  <c r="H152" i="84"/>
  <c r="I150" i="85"/>
  <c r="I151" i="85"/>
  <c r="I146" i="85"/>
  <c r="I135" i="85"/>
  <c r="I136" i="85"/>
  <c r="I143" i="85"/>
  <c r="I142" i="85"/>
  <c r="E181" i="72"/>
  <c r="D181" i="72"/>
  <c r="D180" i="72"/>
  <c r="D185" i="72" s="1"/>
  <c r="J175" i="72"/>
  <c r="I175" i="72"/>
  <c r="H175" i="72"/>
  <c r="G175" i="72"/>
  <c r="F175" i="72"/>
  <c r="E175" i="72"/>
  <c r="D175" i="72"/>
  <c r="J174" i="72"/>
  <c r="I174" i="72"/>
  <c r="H174" i="72"/>
  <c r="G174" i="72"/>
  <c r="F174" i="72"/>
  <c r="E174" i="72"/>
  <c r="B166" i="72"/>
  <c r="A156" i="72"/>
  <c r="A155" i="72"/>
  <c r="A154" i="72"/>
  <c r="F149" i="72"/>
  <c r="F180" i="72" s="1"/>
  <c r="E149" i="72"/>
  <c r="E180" i="72" s="1"/>
  <c r="E185"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J113" i="85" l="1"/>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163" i="72"/>
  <c r="B126" i="72"/>
  <c r="B143" i="72" s="1"/>
  <c r="D156" i="72" s="1"/>
  <c r="D164" i="72"/>
  <c r="B124" i="72"/>
  <c r="B141" i="72" s="1"/>
  <c r="D167" i="72"/>
  <c r="B125" i="72"/>
  <c r="B142" i="72" s="1"/>
  <c r="D155" i="72" s="1"/>
  <c r="F126" i="72"/>
  <c r="F143" i="72" s="1"/>
  <c r="F124" i="72"/>
  <c r="F141" i="72" s="1"/>
  <c r="F125" i="72"/>
  <c r="F142" i="72" s="1"/>
  <c r="C44" i="72"/>
  <c r="C46" i="72"/>
  <c r="C48" i="72"/>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C50" i="72"/>
  <c r="C52" i="72"/>
  <c r="C54" i="72"/>
  <c r="C56" i="72"/>
  <c r="C58" i="72"/>
  <c r="C60" i="72"/>
  <c r="E164" i="72"/>
  <c r="C124" i="72"/>
  <c r="C141" i="72" s="1"/>
  <c r="E167" i="72"/>
  <c r="C125" i="72"/>
  <c r="C142" i="72" s="1"/>
  <c r="E163" i="72"/>
  <c r="C126" i="72"/>
  <c r="C143" i="72" s="1"/>
  <c r="G124" i="72"/>
  <c r="G141" i="72" s="1"/>
  <c r="G125" i="72"/>
  <c r="G142" i="72" s="1"/>
  <c r="G126" i="72"/>
  <c r="G143" i="72" s="1"/>
  <c r="D39" i="72"/>
  <c r="H39" i="72"/>
  <c r="C41" i="72"/>
  <c r="C45" i="72" s="1"/>
  <c r="E39" i="72"/>
  <c r="G167" i="72"/>
  <c r="E125" i="72"/>
  <c r="E142" i="72" s="1"/>
  <c r="E126" i="72"/>
  <c r="E143" i="72" s="1"/>
  <c r="G164" i="72"/>
  <c r="E124" i="72"/>
  <c r="E141" i="72" s="1"/>
  <c r="B39" i="72"/>
  <c r="F39" i="72"/>
  <c r="C39" i="72"/>
  <c r="G39" i="72"/>
  <c r="G149" i="72"/>
  <c r="F181" i="72"/>
  <c r="F185" i="72" s="1"/>
  <c r="L208" i="85"/>
  <c r="E168" i="72" l="1"/>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6" i="85"/>
  <c r="D170" i="85"/>
  <c r="E170" i="85" s="1"/>
  <c r="F170" i="85" s="1"/>
  <c r="G170" i="85" s="1"/>
  <c r="H170" i="85" s="1"/>
  <c r="I170" i="85" s="1"/>
  <c r="B127" i="85"/>
  <c r="B126" i="85"/>
  <c r="B125" i="85"/>
  <c r="B119" i="85"/>
  <c r="B118" i="85"/>
  <c r="B117" i="85"/>
  <c r="B112" i="85"/>
  <c r="B111" i="85"/>
  <c r="B110" i="85"/>
  <c r="E159" i="72" l="1"/>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6" i="85"/>
  <c r="E177" i="72" l="1"/>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5" i="72" s="1"/>
  <c r="I181" i="72"/>
  <c r="I168" i="72"/>
  <c r="I164" i="72"/>
  <c r="I163" i="72"/>
  <c r="I167" i="72"/>
  <c r="I155" i="72"/>
  <c r="I156" i="72"/>
  <c r="I154" i="72"/>
  <c r="F126" i="85"/>
  <c r="I159" i="72" l="1"/>
  <c r="I177" i="72"/>
  <c r="I186" i="72" s="1"/>
  <c r="G44" i="72"/>
  <c r="G46" i="72"/>
  <c r="G48" i="72"/>
  <c r="G50" i="72"/>
  <c r="G52" i="72"/>
  <c r="G54" i="72"/>
  <c r="G56" i="72"/>
  <c r="G58" i="72"/>
  <c r="G60" i="72"/>
  <c r="G45" i="72"/>
  <c r="G47" i="72"/>
  <c r="G49" i="72"/>
  <c r="G51" i="72"/>
  <c r="G53" i="72"/>
  <c r="G55" i="72"/>
  <c r="G57" i="72"/>
  <c r="G59" i="72"/>
  <c r="G61" i="72"/>
  <c r="J180" i="72"/>
  <c r="J185" i="72" s="1"/>
  <c r="J181" i="72"/>
  <c r="J168" i="72"/>
  <c r="J169" i="72"/>
  <c r="J167" i="72"/>
  <c r="J164" i="72"/>
  <c r="J163" i="72"/>
  <c r="J154" i="72"/>
  <c r="J155" i="72"/>
  <c r="J156" i="72"/>
  <c r="J166" i="72"/>
  <c r="J165" i="72"/>
  <c r="H41" i="72"/>
  <c r="H42" i="72"/>
  <c r="G126" i="85"/>
  <c r="I188" i="72" l="1"/>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I58" i="57" l="1"/>
  <c r="G65" i="57"/>
  <c r="J6" i="62"/>
  <c r="E223" i="85" l="1"/>
  <c r="D365" i="84" s="1"/>
  <c r="E220" i="85"/>
  <c r="D360" i="84" s="1"/>
  <c r="C365" i="84"/>
  <c r="E222" i="85"/>
  <c r="F222" i="85" s="1"/>
  <c r="G222" i="85" s="1"/>
  <c r="H222" i="85" s="1"/>
  <c r="I222" i="85" s="1"/>
  <c r="J222" i="85" s="1"/>
  <c r="C358" i="84"/>
  <c r="C360"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C19" i="84" s="1"/>
  <c r="D25" i="85"/>
  <c r="C18" i="84" s="1"/>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D19" i="84"/>
  <c r="F25" i="85"/>
  <c r="D18" i="84"/>
  <c r="H15" i="84"/>
  <c r="G15" i="84"/>
  <c r="F15" i="84"/>
  <c r="E15" i="84"/>
  <c r="D15" i="84"/>
  <c r="C15" i="84"/>
  <c r="B15" i="84"/>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3" i="84"/>
  <c r="K103" i="84"/>
  <c r="L102" i="84"/>
  <c r="K102" i="84"/>
  <c r="L101" i="84"/>
  <c r="K101" i="84"/>
  <c r="L100" i="84"/>
  <c r="K100" i="84"/>
  <c r="L99" i="84"/>
  <c r="K99" i="84"/>
  <c r="L98" i="84"/>
  <c r="K98" i="84"/>
  <c r="D117" i="84"/>
  <c r="C10" i="22"/>
  <c r="J99"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57" i="57"/>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9" i="84"/>
  <c r="C184" i="84"/>
  <c r="B163" i="84"/>
  <c r="B159" i="84"/>
  <c r="B154" i="84"/>
  <c r="B147" i="84"/>
  <c r="B143" i="84"/>
  <c r="B183" i="84" s="1"/>
  <c r="B212" i="84" s="1"/>
  <c r="B139" i="84"/>
  <c r="B175" i="84" s="1"/>
  <c r="B203" i="84" s="1"/>
  <c r="B208" i="84" s="1"/>
  <c r="C66" i="84"/>
  <c r="D66" i="84" s="1"/>
  <c r="B189" i="84" l="1"/>
  <c r="B216" i="84" s="1"/>
  <c r="G130" i="85"/>
  <c r="G125" i="85"/>
  <c r="G110" i="85"/>
  <c r="G203" i="84" s="1"/>
  <c r="G140" i="84" s="1"/>
  <c r="H223" i="85"/>
  <c r="F365" i="84"/>
  <c r="F205" i="84"/>
  <c r="H363" i="84"/>
  <c r="G99" i="85"/>
  <c r="E322" i="84"/>
  <c r="E269" i="84" s="1"/>
  <c r="G132" i="85"/>
  <c r="H112" i="85"/>
  <c r="G205" i="84"/>
  <c r="G117" i="85"/>
  <c r="G139" i="85"/>
  <c r="H111" i="85"/>
  <c r="G204" i="84"/>
  <c r="H131" i="85"/>
  <c r="G140" i="85"/>
  <c r="G25" i="85"/>
  <c r="E18" i="84"/>
  <c r="G26" i="85"/>
  <c r="E19" i="84"/>
  <c r="E78" i="61"/>
  <c r="I78" i="61"/>
  <c r="M78" i="61"/>
  <c r="C13" i="22"/>
  <c r="D13" i="22" s="1"/>
  <c r="D116" i="84"/>
  <c r="B17" i="21"/>
  <c r="D164" i="84"/>
  <c r="E164" i="84"/>
  <c r="F3" i="22"/>
  <c r="F15" i="22" s="1"/>
  <c r="E7" i="22"/>
  <c r="D10" i="22"/>
  <c r="D12" i="22"/>
  <c r="E14" i="22"/>
  <c r="E10" i="22"/>
  <c r="E12" i="22"/>
  <c r="D14" i="22"/>
  <c r="E15" i="22"/>
  <c r="E6" i="22"/>
  <c r="E9" i="22"/>
  <c r="D11" i="22"/>
  <c r="D15" i="22"/>
  <c r="D7" i="22"/>
  <c r="E11" i="22"/>
  <c r="D99" i="84"/>
  <c r="F99" i="84"/>
  <c r="G99" i="84"/>
  <c r="H99" i="84"/>
  <c r="E99" i="84"/>
  <c r="I99" i="84"/>
  <c r="C274" i="84"/>
  <c r="E274" i="84"/>
  <c r="C264" i="84"/>
  <c r="C279" i="84"/>
  <c r="B351" i="84"/>
  <c r="D106"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E80" i="61"/>
  <c r="E82" i="61" s="1"/>
  <c r="I80" i="61"/>
  <c r="I82" i="61" s="1"/>
  <c r="M80" i="61"/>
  <c r="M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F19" i="84"/>
  <c r="F18" i="84"/>
  <c r="H25" i="85"/>
  <c r="E13" i="22"/>
  <c r="F164" i="84"/>
  <c r="F10" i="22"/>
  <c r="F14" i="22"/>
  <c r="F7" i="22"/>
  <c r="F11" i="22"/>
  <c r="F12" i="22"/>
  <c r="G3" i="22"/>
  <c r="F16" i="22"/>
  <c r="F6" i="22"/>
  <c r="F13" i="22"/>
  <c r="F9" i="22"/>
  <c r="B36" i="84"/>
  <c r="B35" i="84"/>
  <c r="B36" i="83" s="1"/>
  <c r="B34" i="84"/>
  <c r="B33" i="84"/>
  <c r="E144" i="84"/>
  <c r="E148" i="84"/>
  <c r="E155" i="84"/>
  <c r="E259" i="84"/>
  <c r="K80" i="61"/>
  <c r="K82" i="61" s="1"/>
  <c r="G80" i="61"/>
  <c r="G82" i="61" s="1"/>
  <c r="H80" i="61"/>
  <c r="H82" i="61" s="1"/>
  <c r="L80" i="61"/>
  <c r="L82" i="61" s="1"/>
  <c r="G245" i="84"/>
  <c r="C17" i="84"/>
  <c r="B22" i="84"/>
  <c r="I22" i="84" s="1"/>
  <c r="C16" i="84"/>
  <c r="F66" i="84"/>
  <c r="I130" i="85" l="1"/>
  <c r="I125" i="85"/>
  <c r="G160" i="84"/>
  <c r="D81" i="84"/>
  <c r="B14" i="21" s="1"/>
  <c r="I110" i="85"/>
  <c r="I203" i="84" s="1"/>
  <c r="I140" i="84" s="1"/>
  <c r="J16" i="83"/>
  <c r="B51" i="84"/>
  <c r="D17" i="22"/>
  <c r="D18" i="22" s="1"/>
  <c r="C39" i="21" s="1"/>
  <c r="H365" i="84"/>
  <c r="J223" i="85"/>
  <c r="I365" i="84" s="1"/>
  <c r="G17" i="22"/>
  <c r="F17" i="22"/>
  <c r="J15" i="83"/>
  <c r="J18" i="83"/>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G19" i="84"/>
  <c r="I25" i="85"/>
  <c r="G18" i="84"/>
  <c r="B330" i="84"/>
  <c r="B306" i="84"/>
  <c r="B342" i="84"/>
  <c r="H3" i="22"/>
  <c r="G15" i="22"/>
  <c r="G12" i="22"/>
  <c r="G16" i="22"/>
  <c r="G9" i="22"/>
  <c r="G13" i="22"/>
  <c r="G6" i="22"/>
  <c r="G11" i="22"/>
  <c r="G14" i="22"/>
  <c r="G7" i="22"/>
  <c r="G10" i="22"/>
  <c r="B52" i="84"/>
  <c r="B318" i="84"/>
  <c r="C34" i="84"/>
  <c r="C33" i="84"/>
  <c r="C36" i="84"/>
  <c r="C342" i="84" s="1"/>
  <c r="C35" i="84"/>
  <c r="C330" i="84" s="1"/>
  <c r="B56" i="84"/>
  <c r="B55" i="84"/>
  <c r="B57" i="84"/>
  <c r="B46" i="84"/>
  <c r="B47" i="84"/>
  <c r="B45" i="84"/>
  <c r="B62" i="84"/>
  <c r="B61" i="84"/>
  <c r="B60" i="84"/>
  <c r="G144" i="84"/>
  <c r="F144" i="84"/>
  <c r="G148" i="84"/>
  <c r="F148" i="84"/>
  <c r="F155" i="84"/>
  <c r="F259" i="84"/>
  <c r="H245" i="84"/>
  <c r="D17" i="84"/>
  <c r="B67" i="84"/>
  <c r="B24" i="84"/>
  <c r="G66" i="84"/>
  <c r="D16" i="84"/>
  <c r="C22" i="84"/>
  <c r="J22" i="84" s="1"/>
  <c r="H160" i="84" l="1"/>
  <c r="J130" i="85"/>
  <c r="K130" i="85" s="1"/>
  <c r="L130" i="85" s="1"/>
  <c r="J125" i="85"/>
  <c r="K125" i="85" s="1"/>
  <c r="L125" i="85" s="1"/>
  <c r="C165" i="84"/>
  <c r="C154" i="84"/>
  <c r="C156" i="84" s="1"/>
  <c r="J110" i="85"/>
  <c r="K110" i="85" s="1"/>
  <c r="L110" i="85" s="1"/>
  <c r="C318" i="84"/>
  <c r="C51" i="84"/>
  <c r="C306" i="84"/>
  <c r="B39" i="83"/>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H18" i="84"/>
  <c r="H19" i="84"/>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2" i="84" s="1"/>
  <c r="D34" i="84"/>
  <c r="D35" i="84"/>
  <c r="D330" i="84" s="1"/>
  <c r="D33" i="84"/>
  <c r="G155" i="84"/>
  <c r="G259" i="84"/>
  <c r="F18" i="22"/>
  <c r="E17" i="84"/>
  <c r="C67" i="84"/>
  <c r="C24" i="84"/>
  <c r="E16" i="84"/>
  <c r="D22" i="84"/>
  <c r="K22" i="84" s="1"/>
  <c r="H66" i="84"/>
  <c r="I160" i="84" l="1"/>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2" i="84" s="1"/>
  <c r="E34" i="84"/>
  <c r="E35" i="84"/>
  <c r="E330" i="84" s="1"/>
  <c r="E33" i="84"/>
  <c r="D47" i="84"/>
  <c r="D46" i="84"/>
  <c r="D45" i="84"/>
  <c r="D61" i="84"/>
  <c r="D62" i="84"/>
  <c r="D60" i="84"/>
  <c r="H259" i="84"/>
  <c r="G18" i="22"/>
  <c r="F17" i="84"/>
  <c r="D24" i="84"/>
  <c r="D67" i="84"/>
  <c r="F16" i="84"/>
  <c r="E22" i="84"/>
  <c r="L22" i="84" s="1"/>
  <c r="E165" i="84" l="1"/>
  <c r="E154" i="84"/>
  <c r="E156" i="84" s="1"/>
  <c r="E318" i="84"/>
  <c r="E51" i="84"/>
  <c r="E306" i="84"/>
  <c r="F39" i="21"/>
  <c r="E45" i="84"/>
  <c r="E47" i="84"/>
  <c r="E46" i="84"/>
  <c r="E56" i="84"/>
  <c r="E57" i="84"/>
  <c r="E55" i="84"/>
  <c r="E50" i="84"/>
  <c r="E52" i="84"/>
  <c r="E61" i="84"/>
  <c r="E62" i="84"/>
  <c r="E60" i="84"/>
  <c r="F35" i="84"/>
  <c r="F330" i="84" s="1"/>
  <c r="F33" i="84"/>
  <c r="F36" i="84"/>
  <c r="F342" i="84" s="1"/>
  <c r="F34" i="84"/>
  <c r="I155" i="84"/>
  <c r="H18" i="22"/>
  <c r="G17" i="84"/>
  <c r="F22" i="84"/>
  <c r="M22" i="84" s="1"/>
  <c r="G16" i="84"/>
  <c r="E24" i="84"/>
  <c r="E67" i="84"/>
  <c r="F165" i="84" l="1"/>
  <c r="F154" i="84"/>
  <c r="F156" i="84" s="1"/>
  <c r="F318" i="84"/>
  <c r="F51" i="84"/>
  <c r="F306" i="84"/>
  <c r="G39" i="21"/>
  <c r="F46" i="84"/>
  <c r="F45" i="84"/>
  <c r="F47" i="84"/>
  <c r="G35" i="84"/>
  <c r="G330" i="84" s="1"/>
  <c r="G33" i="84"/>
  <c r="G36" i="84"/>
  <c r="G342" i="84" s="1"/>
  <c r="G34" i="84"/>
  <c r="F56" i="84"/>
  <c r="F57" i="84"/>
  <c r="F55" i="84"/>
  <c r="F62" i="84"/>
  <c r="F60" i="84"/>
  <c r="F61" i="84"/>
  <c r="F52" i="84"/>
  <c r="F50" i="84"/>
  <c r="I18" i="22"/>
  <c r="H17" i="84"/>
  <c r="G22" i="84"/>
  <c r="N22" i="84" s="1"/>
  <c r="H16" i="84"/>
  <c r="F67" i="84"/>
  <c r="F24" i="84"/>
  <c r="G165" i="84" l="1"/>
  <c r="G154" i="84"/>
  <c r="G156" i="84" s="1"/>
  <c r="G318" i="84"/>
  <c r="G51" i="84"/>
  <c r="G306" i="84"/>
  <c r="H39" i="21"/>
  <c r="G52" i="84"/>
  <c r="G50" i="84"/>
  <c r="G62" i="84"/>
  <c r="G60" i="84"/>
  <c r="G61" i="84"/>
  <c r="G47" i="84"/>
  <c r="G46" i="84"/>
  <c r="G45" i="84"/>
  <c r="H36" i="84"/>
  <c r="H342" i="84" s="1"/>
  <c r="H34" i="84"/>
  <c r="H35" i="84"/>
  <c r="H330" i="84" s="1"/>
  <c r="H33" i="84"/>
  <c r="G57" i="84"/>
  <c r="G55" i="84"/>
  <c r="G56" i="84"/>
  <c r="H22" i="84"/>
  <c r="G67" i="84"/>
  <c r="G24" i="84"/>
  <c r="H165" i="84" l="1"/>
  <c r="H154" i="84"/>
  <c r="H156" i="84" s="1"/>
  <c r="H318" i="84"/>
  <c r="H51" i="84"/>
  <c r="H306" i="84"/>
  <c r="H57" i="84"/>
  <c r="H55" i="84"/>
  <c r="H56" i="84"/>
  <c r="H50" i="84"/>
  <c r="H52" i="84"/>
  <c r="H47" i="84"/>
  <c r="H46" i="84"/>
  <c r="H45" i="84"/>
  <c r="H61" i="84"/>
  <c r="H62" i="84"/>
  <c r="H60" i="84"/>
  <c r="H24" i="84"/>
  <c r="H67" i="84"/>
  <c r="I165" i="84" l="1"/>
  <c r="I154" i="84"/>
  <c r="I156" i="84" s="1"/>
  <c r="A34" i="83" l="1"/>
  <c r="A39" i="83"/>
  <c r="A29" i="83"/>
  <c r="A38" i="83" s="1"/>
  <c r="A28" i="83"/>
  <c r="A37" i="83" s="1"/>
  <c r="A27" i="83"/>
  <c r="A36" i="83" s="1"/>
  <c r="B7" i="81" l="1"/>
  <c r="B9" i="81" s="1"/>
  <c r="C31" i="53"/>
  <c r="C84" i="53" s="1"/>
  <c r="D152" i="53" s="1"/>
  <c r="B32" i="55"/>
  <c r="D219" i="53"/>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6" i="57"/>
  <c r="F77" i="57"/>
  <c r="F78" i="57"/>
  <c r="F79" i="57"/>
  <c r="F80" i="57"/>
  <c r="F81" i="57"/>
  <c r="F90" i="57"/>
  <c r="F91" i="57"/>
  <c r="F92" i="57"/>
  <c r="F93" i="57"/>
  <c r="F94" i="57"/>
  <c r="F95" i="57"/>
  <c r="F104" i="57"/>
  <c r="F105" i="57"/>
  <c r="F106" i="57"/>
  <c r="H55" i="57"/>
  <c r="B283" i="55" s="1"/>
  <c r="B5" i="55"/>
  <c r="B63" i="55"/>
  <c r="B89" i="55" s="1"/>
  <c r="B141" i="55" s="1"/>
  <c r="D199" i="55" s="1"/>
  <c r="B7" i="83"/>
  <c r="B9" i="83" s="1"/>
  <c r="D14" i="83" s="1"/>
  <c r="F14" i="83" s="1"/>
  <c r="H14" i="83" s="1"/>
  <c r="D255" i="55"/>
  <c r="D279" i="55"/>
  <c r="D280" i="55"/>
  <c r="H65" i="57"/>
  <c r="V11" i="61" s="1"/>
  <c r="B113" i="81"/>
  <c r="C30" i="53" s="1"/>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C40" i="81"/>
  <c r="D40" i="81" s="1"/>
  <c r="E40" i="81" s="1"/>
  <c r="F40" i="81" s="1"/>
  <c r="G40" i="81" s="1"/>
  <c r="H40" i="81" s="1"/>
  <c r="H63" i="55"/>
  <c r="E172" i="55"/>
  <c r="F172" i="55"/>
  <c r="G172" i="55"/>
  <c r="H172" i="55" s="1"/>
  <c r="I172" i="55" s="1"/>
  <c r="J172" i="55" s="1"/>
  <c r="H32" i="55"/>
  <c r="H89" i="55" s="1"/>
  <c r="J255" i="55"/>
  <c r="H141" i="55"/>
  <c r="G63" i="55"/>
  <c r="G32" i="55"/>
  <c r="G89" i="55" s="1"/>
  <c r="I255" i="55"/>
  <c r="I279" i="55"/>
  <c r="I280" i="55"/>
  <c r="F63" i="55"/>
  <c r="F32" i="55"/>
  <c r="F89" i="55" s="1"/>
  <c r="H255" i="55"/>
  <c r="H279" i="55"/>
  <c r="H280" i="55"/>
  <c r="E63" i="55"/>
  <c r="E32" i="55"/>
  <c r="E89" i="55" s="1"/>
  <c r="G255" i="55"/>
  <c r="G279" i="55"/>
  <c r="G280" i="55"/>
  <c r="D63" i="55"/>
  <c r="D32" i="55"/>
  <c r="D89" i="55"/>
  <c r="F254" i="55" s="1"/>
  <c r="F255" i="55"/>
  <c r="F279" i="55"/>
  <c r="F280" i="55"/>
  <c r="D141" i="55"/>
  <c r="C63" i="55"/>
  <c r="C32" i="55"/>
  <c r="C89" i="55"/>
  <c r="E254" i="55" s="1"/>
  <c r="E255" i="55"/>
  <c r="E279" i="55"/>
  <c r="E280" i="55"/>
  <c r="C141" i="55"/>
  <c r="E76" i="84"/>
  <c r="E123" i="84" s="1"/>
  <c r="C65" i="81"/>
  <c r="D65" i="81" s="1"/>
  <c r="E65" i="81" s="1"/>
  <c r="F65" i="81" s="1"/>
  <c r="G65" i="81" s="1"/>
  <c r="H65" i="81" s="1"/>
  <c r="C90" i="81"/>
  <c r="D90" i="81"/>
  <c r="E90" i="81" s="1"/>
  <c r="F90" i="81" s="1"/>
  <c r="G90" i="81" s="1"/>
  <c r="H90" i="81" s="1"/>
  <c r="E124" i="53"/>
  <c r="F124" i="53" s="1"/>
  <c r="G124" i="53" s="1"/>
  <c r="H124" i="53" s="1"/>
  <c r="C113" i="81"/>
  <c r="D113" i="81"/>
  <c r="E113" i="81"/>
  <c r="F113" i="81" s="1"/>
  <c r="I31" i="53"/>
  <c r="I84" i="53"/>
  <c r="H31" i="53"/>
  <c r="H84" i="53" s="1"/>
  <c r="G31" i="53"/>
  <c r="G84" i="53" s="1"/>
  <c r="F30" i="53"/>
  <c r="F83" i="53"/>
  <c r="G218" i="53"/>
  <c r="F31" i="53"/>
  <c r="F84" i="53" s="1"/>
  <c r="G205" i="53"/>
  <c r="G214" i="53"/>
  <c r="G243" i="53"/>
  <c r="E30" i="53"/>
  <c r="E83" i="53"/>
  <c r="F218" i="53" s="1"/>
  <c r="E31" i="53"/>
  <c r="E84" i="53"/>
  <c r="F219" i="53"/>
  <c r="F205" i="53"/>
  <c r="F214" i="53"/>
  <c r="F243" i="53"/>
  <c r="D30" i="53"/>
  <c r="D83" i="53"/>
  <c r="E218" i="53"/>
  <c r="D31" i="53"/>
  <c r="D84" i="53" s="1"/>
  <c r="E205" i="53"/>
  <c r="E214" i="53"/>
  <c r="E243" i="53"/>
  <c r="F23" i="48"/>
  <c r="G23" i="48"/>
  <c r="H23" i="48" s="1"/>
  <c r="E17" i="42"/>
  <c r="F17" i="42"/>
  <c r="G17" i="42" s="1"/>
  <c r="F27" i="42"/>
  <c r="F28" i="42"/>
  <c r="F34" i="42" s="1"/>
  <c r="F29" i="42"/>
  <c r="E27" i="42"/>
  <c r="E34" i="42" s="1"/>
  <c r="E28" i="42"/>
  <c r="E29" i="42"/>
  <c r="E199" i="55"/>
  <c r="C162" i="55"/>
  <c r="E221" i="55" s="1"/>
  <c r="C163" i="55"/>
  <c r="E222" i="55" s="1"/>
  <c r="C164" i="55"/>
  <c r="E223" i="55" s="1"/>
  <c r="F28" i="48"/>
  <c r="F31" i="48"/>
  <c r="F32" i="48"/>
  <c r="F33" i="48"/>
  <c r="F34" i="48"/>
  <c r="F35" i="48"/>
  <c r="F36" i="48"/>
  <c r="F37" i="48"/>
  <c r="F38" i="48"/>
  <c r="E151" i="53"/>
  <c r="C9" i="42"/>
  <c r="C10" i="42" s="1"/>
  <c r="E21" i="42" s="1"/>
  <c r="E23" i="42" s="1"/>
  <c r="F38" i="61" s="1"/>
  <c r="F199" i="55"/>
  <c r="D162" i="55"/>
  <c r="F221" i="55" s="1"/>
  <c r="D163" i="55"/>
  <c r="F222" i="55" s="1"/>
  <c r="D164" i="55"/>
  <c r="F223" i="55" s="1"/>
  <c r="G28" i="48"/>
  <c r="G31" i="48"/>
  <c r="G32" i="48"/>
  <c r="G33" i="48"/>
  <c r="G34" i="48"/>
  <c r="G35" i="48"/>
  <c r="G36" i="48"/>
  <c r="G37" i="48"/>
  <c r="G38" i="48"/>
  <c r="F151" i="53"/>
  <c r="D9" i="42"/>
  <c r="D10" i="42" s="1"/>
  <c r="F21" i="42" s="1"/>
  <c r="F23" i="42" s="1"/>
  <c r="G38" i="61" s="1"/>
  <c r="E162" i="55"/>
  <c r="G221" i="55" s="1"/>
  <c r="E163" i="55"/>
  <c r="G222" i="55" s="1"/>
  <c r="E164" i="55"/>
  <c r="G223" i="55" s="1"/>
  <c r="G151" i="53"/>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42" i="81"/>
  <c r="A67" i="81"/>
  <c r="A92" i="81" s="1"/>
  <c r="A9" i="53" s="1"/>
  <c r="C17" i="61"/>
  <c r="H67"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32" i="53"/>
  <c r="A153" i="53" s="1"/>
  <c r="A220" i="53" s="1"/>
  <c r="A31" i="53"/>
  <c r="A62" i="81"/>
  <c r="A87" i="81"/>
  <c r="A112" i="81" s="1"/>
  <c r="A30" i="53" s="1"/>
  <c r="A61" i="81"/>
  <c r="A86" i="81"/>
  <c r="A111" i="81" s="1"/>
  <c r="A29" i="53" s="1"/>
  <c r="A60" i="81"/>
  <c r="A85" i="81"/>
  <c r="A110" i="81" s="1"/>
  <c r="A28" i="53" s="1"/>
  <c r="A43" i="81"/>
  <c r="A68" i="81"/>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9" i="55"/>
  <c r="A86" i="55" s="1"/>
  <c r="A138" i="55" s="1"/>
  <c r="A196" i="55" s="1"/>
  <c r="A251" i="55" s="1"/>
  <c r="A59" i="81"/>
  <c r="A28" i="55"/>
  <c r="A85" i="55"/>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K12" i="81"/>
  <c r="L12" i="81" s="1"/>
  <c r="M12" i="81" s="1"/>
  <c r="N12" i="81" s="1"/>
  <c r="A44" i="81"/>
  <c r="A69" i="81" s="1"/>
  <c r="F13" i="48"/>
  <c r="F14" i="48"/>
  <c r="F15" i="48"/>
  <c r="F16" i="48"/>
  <c r="F17" i="48"/>
  <c r="A152" i="53"/>
  <c r="A219" i="53" s="1"/>
  <c r="A151" i="53"/>
  <c r="A218" i="53"/>
  <c r="A150" i="53"/>
  <c r="A217" i="53"/>
  <c r="A149" i="53"/>
  <c r="A216" i="53"/>
  <c r="A84" i="81"/>
  <c r="A109" i="81" s="1"/>
  <c r="A27" i="53" s="1"/>
  <c r="A26" i="53"/>
  <c r="A147" i="53"/>
  <c r="A214" i="53"/>
  <c r="A58" i="81"/>
  <c r="A83" i="81" s="1"/>
  <c r="A57" i="81"/>
  <c r="A82" i="81"/>
  <c r="A107" i="81" s="1"/>
  <c r="A24" i="53" s="1"/>
  <c r="A56" i="81"/>
  <c r="A81" i="81" s="1"/>
  <c r="A55" i="81"/>
  <c r="A80" i="81"/>
  <c r="A105" i="81" s="1"/>
  <c r="A22" i="53" s="1"/>
  <c r="A54" i="81"/>
  <c r="A79" i="81" s="1"/>
  <c r="A53" i="81"/>
  <c r="A78" i="81"/>
  <c r="A103" i="81" s="1"/>
  <c r="A20" i="53" s="1"/>
  <c r="A52" i="81"/>
  <c r="A77" i="81" s="1"/>
  <c r="A51" i="81"/>
  <c r="A76" i="81"/>
  <c r="A101" i="81" s="1"/>
  <c r="A18" i="53" s="1"/>
  <c r="A138" i="53"/>
  <c r="A205" i="53" s="1"/>
  <c r="A49" i="81"/>
  <c r="A74" i="81"/>
  <c r="A99" i="81" s="1"/>
  <c r="A16" i="53" s="1"/>
  <c r="A48" i="81"/>
  <c r="A73" i="81" s="1"/>
  <c r="A47" i="81"/>
  <c r="A72" i="81"/>
  <c r="A97" i="81" s="1"/>
  <c r="A14" i="53" s="1"/>
  <c r="A46" i="81"/>
  <c r="A71" i="81" s="1"/>
  <c r="A45" i="81"/>
  <c r="A70" i="81" s="1"/>
  <c r="A129" i="53"/>
  <c r="A61" i="53"/>
  <c r="A84" i="53"/>
  <c r="A83" i="53"/>
  <c r="A82" i="53"/>
  <c r="A81" i="53"/>
  <c r="A79" i="53"/>
  <c r="A70" i="53"/>
  <c r="A93" i="81"/>
  <c r="A10" i="53" s="1"/>
  <c r="A50" i="81"/>
  <c r="A75" i="81" s="1"/>
  <c r="A27" i="55"/>
  <c r="A84" i="55"/>
  <c r="A136" i="55" s="1"/>
  <c r="A194" i="55" s="1"/>
  <c r="A249" i="55" s="1"/>
  <c r="A26" i="55"/>
  <c r="A83" i="55" s="1"/>
  <c r="A135" i="55" s="1"/>
  <c r="A193" i="55" s="1"/>
  <c r="A248" i="55" s="1"/>
  <c r="A25" i="55"/>
  <c r="A82" i="55" s="1"/>
  <c r="A134" i="55" s="1"/>
  <c r="A192" i="55" s="1"/>
  <c r="A247" i="55" s="1"/>
  <c r="A24" i="55"/>
  <c r="A81" i="55"/>
  <c r="A133" i="55" s="1"/>
  <c r="A191" i="55" s="1"/>
  <c r="A246" i="55" s="1"/>
  <c r="A23" i="55"/>
  <c r="A80" i="55" s="1"/>
  <c r="A132" i="55" s="1"/>
  <c r="A190" i="55" s="1"/>
  <c r="A245" i="55" s="1"/>
  <c r="A22" i="55"/>
  <c r="A79" i="55" s="1"/>
  <c r="A131" i="55" s="1"/>
  <c r="A189" i="55" s="1"/>
  <c r="A244" i="55" s="1"/>
  <c r="A21" i="55"/>
  <c r="A78" i="55" s="1"/>
  <c r="A130" i="55" s="1"/>
  <c r="A188" i="55" s="1"/>
  <c r="A243" i="55" s="1"/>
  <c r="A20" i="55"/>
  <c r="A77" i="55"/>
  <c r="A129" i="55" s="1"/>
  <c r="A187" i="55" s="1"/>
  <c r="A242" i="55" s="1"/>
  <c r="A19" i="55"/>
  <c r="A76" i="55" s="1"/>
  <c r="A128" i="55" s="1"/>
  <c r="A186" i="55" s="1"/>
  <c r="A241" i="55" s="1"/>
  <c r="A18" i="55"/>
  <c r="A75" i="55" s="1"/>
  <c r="A127" i="55" s="1"/>
  <c r="A185" i="55" s="1"/>
  <c r="A240" i="55" s="1"/>
  <c r="A17" i="55"/>
  <c r="A74" i="55" s="1"/>
  <c r="A126" i="55" s="1"/>
  <c r="A184" i="55" s="1"/>
  <c r="A239" i="55" s="1"/>
  <c r="A16" i="55"/>
  <c r="A73" i="55"/>
  <c r="A125" i="55" s="1"/>
  <c r="A183" i="55" s="1"/>
  <c r="A238" i="55" s="1"/>
  <c r="A15" i="55"/>
  <c r="A72" i="55" s="1"/>
  <c r="A124" i="55" s="1"/>
  <c r="A182" i="55" s="1"/>
  <c r="A237" i="55" s="1"/>
  <c r="A14" i="55"/>
  <c r="A71" i="55" s="1"/>
  <c r="A123" i="55" s="1"/>
  <c r="A181" i="55" s="1"/>
  <c r="A236" i="55" s="1"/>
  <c r="A13" i="55"/>
  <c r="A70" i="55" s="1"/>
  <c r="A122" i="55" s="1"/>
  <c r="A180" i="55" s="1"/>
  <c r="A235" i="55" s="1"/>
  <c r="A12" i="55"/>
  <c r="A69" i="55"/>
  <c r="A121" i="55" s="1"/>
  <c r="A179" i="55" s="1"/>
  <c r="A234" i="55" s="1"/>
  <c r="A11" i="55"/>
  <c r="A68" i="55" s="1"/>
  <c r="A120" i="55" s="1"/>
  <c r="A178" i="55" s="1"/>
  <c r="A233" i="55" s="1"/>
  <c r="A32" i="55"/>
  <c r="A89" i="55" s="1"/>
  <c r="A141" i="55" s="1"/>
  <c r="V12" i="81"/>
  <c r="W12" i="81"/>
  <c r="X12" i="81" s="1"/>
  <c r="P12" i="81"/>
  <c r="Q12" i="81"/>
  <c r="R12" i="8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H29" i="69"/>
  <c r="B18" i="68"/>
  <c r="B17" i="68"/>
  <c r="A251" i="53"/>
  <c r="A250" i="53"/>
  <c r="A249" i="53"/>
  <c r="A247" i="53"/>
  <c r="A246" i="53"/>
  <c r="A245" i="53"/>
  <c r="A244" i="53"/>
  <c r="A195" i="53"/>
  <c r="E47" i="42"/>
  <c r="D47" i="42"/>
  <c r="E122" i="84" l="1"/>
  <c r="E121" i="84"/>
  <c r="E120" i="84"/>
  <c r="E119" i="84"/>
  <c r="E124" i="84"/>
  <c r="F124" i="29"/>
  <c r="F139" i="29"/>
  <c r="F154" i="29"/>
  <c r="F169" i="29"/>
  <c r="F34" i="29"/>
  <c r="D124" i="29"/>
  <c r="D139" i="29"/>
  <c r="D154" i="29"/>
  <c r="D169" i="29"/>
  <c r="E169" i="29"/>
  <c r="E124" i="29"/>
  <c r="E139" i="29"/>
  <c r="E154" i="29"/>
  <c r="H18" i="83"/>
  <c r="B29" i="83"/>
  <c r="F76" i="84"/>
  <c r="F123" i="84" s="1"/>
  <c r="E116" i="84"/>
  <c r="E117" i="84"/>
  <c r="G47" i="57"/>
  <c r="F82" i="57"/>
  <c r="D7" i="62" s="1"/>
  <c r="C41" i="22" s="1"/>
  <c r="F96" i="57"/>
  <c r="D8" i="62" s="1"/>
  <c r="C20" i="68" s="1"/>
  <c r="F107"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8" i="81"/>
  <c r="A25" i="53" s="1"/>
  <c r="A148" i="53"/>
  <c r="A215" i="53" s="1"/>
  <c r="A80" i="53"/>
  <c r="A95" i="81"/>
  <c r="A12" i="53" s="1"/>
  <c r="A98" i="81"/>
  <c r="A15" i="53" s="1"/>
  <c r="A139" i="53"/>
  <c r="A206" i="53" s="1"/>
  <c r="A71" i="53"/>
  <c r="A106" i="81"/>
  <c r="A23" i="53" s="1"/>
  <c r="A94" i="81"/>
  <c r="A11" i="53" s="1"/>
  <c r="A100" i="81"/>
  <c r="A96" i="81"/>
  <c r="A13" i="53" s="1"/>
  <c r="A137" i="53"/>
  <c r="A204" i="53" s="1"/>
  <c r="A69" i="53"/>
  <c r="A104" i="81"/>
  <c r="A21" i="53" s="1"/>
  <c r="A145" i="53"/>
  <c r="A212" i="53" s="1"/>
  <c r="A77" i="53"/>
  <c r="A63" i="53"/>
  <c r="A131" i="53"/>
  <c r="A198" i="53" s="1"/>
  <c r="A135" i="53"/>
  <c r="A202" i="53" s="1"/>
  <c r="A67" i="53"/>
  <c r="A102" i="81"/>
  <c r="A19" i="53" s="1"/>
  <c r="A143" i="53"/>
  <c r="A210" i="53" s="1"/>
  <c r="A75" i="53"/>
  <c r="A56" i="53"/>
  <c r="A130" i="53"/>
  <c r="A197" i="53" s="1"/>
  <c r="A62" i="53"/>
  <c r="A110" i="53"/>
  <c r="A178" i="53"/>
  <c r="A242" i="53" s="1"/>
  <c r="A51" i="53"/>
  <c r="A33" i="53"/>
  <c r="A35" i="53"/>
  <c r="A37" i="53"/>
  <c r="A39" i="53"/>
  <c r="A41" i="53"/>
  <c r="A43" i="53"/>
  <c r="A45" i="53"/>
  <c r="A47" i="53"/>
  <c r="A49" i="53"/>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G113" i="81"/>
  <c r="G30" i="53"/>
  <c r="G83" i="53" s="1"/>
  <c r="H219" i="53"/>
  <c r="I219" i="53"/>
  <c r="G141" i="55"/>
  <c r="I254" i="55"/>
  <c r="F141" i="55"/>
  <c r="H199" i="55" s="1"/>
  <c r="H254" i="55"/>
  <c r="E141" i="55"/>
  <c r="G199" i="55" s="1"/>
  <c r="G254" i="55"/>
  <c r="E51" i="61"/>
  <c r="B24" i="21"/>
  <c r="J10" i="48"/>
  <c r="C30" i="48"/>
  <c r="J279" i="55"/>
  <c r="J280" i="55"/>
  <c r="E34" i="48"/>
  <c r="J254" i="55"/>
  <c r="C44" i="48"/>
  <c r="J8" i="48"/>
  <c r="G12" i="57"/>
  <c r="D5" i="62" s="1"/>
  <c r="J9" i="48"/>
  <c r="C29" i="48"/>
  <c r="E38" i="61"/>
  <c r="B10" i="21"/>
  <c r="D151" i="53"/>
  <c r="D218" i="53"/>
  <c r="D254" i="55"/>
  <c r="C32" i="81"/>
  <c r="D14" i="81"/>
  <c r="D15" i="81"/>
  <c r="D16" i="81"/>
  <c r="D17" i="81"/>
  <c r="D18" i="81"/>
  <c r="D19" i="81"/>
  <c r="D20" i="81"/>
  <c r="D21" i="81"/>
  <c r="D22" i="81"/>
  <c r="C23" i="81"/>
  <c r="C19" i="68" l="1"/>
  <c r="A157" i="53"/>
  <c r="A224" i="53" s="1"/>
  <c r="F119" i="84"/>
  <c r="F120" i="84"/>
  <c r="F121" i="84"/>
  <c r="F124" i="84"/>
  <c r="F122" i="84"/>
  <c r="C124" i="29"/>
  <c r="C139" i="29"/>
  <c r="C154" i="29"/>
  <c r="C169" i="29"/>
  <c r="C27" i="83"/>
  <c r="D27" i="83" s="1"/>
  <c r="E27" i="83" s="1"/>
  <c r="F27" i="83" s="1"/>
  <c r="G27" i="83" s="1"/>
  <c r="H27" i="83" s="1"/>
  <c r="G76" i="84"/>
  <c r="F116" i="84"/>
  <c r="F117" i="84"/>
  <c r="F7" i="62"/>
  <c r="G67" i="57"/>
  <c r="D115" i="84" s="1"/>
  <c r="F8" i="62"/>
  <c r="C42" i="22"/>
  <c r="C43" i="22" s="1"/>
  <c r="G42" i="22"/>
  <c r="K41" i="22"/>
  <c r="D42" i="22"/>
  <c r="E42" i="22"/>
  <c r="F42" i="22"/>
  <c r="H42" i="22"/>
  <c r="I42" i="22"/>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H218" i="53"/>
  <c r="H151" i="53"/>
  <c r="A175" i="53"/>
  <c r="A239" i="53" s="1"/>
  <c r="A107" i="53"/>
  <c r="A154" i="53"/>
  <c r="A221" i="53" s="1"/>
  <c r="A86" i="53"/>
  <c r="A172" i="53"/>
  <c r="A104" i="53"/>
  <c r="A133" i="53"/>
  <c r="A200" i="53" s="1"/>
  <c r="A65" i="53"/>
  <c r="C29" i="22"/>
  <c r="F5" i="62"/>
  <c r="C17" i="68"/>
  <c r="D28" i="81"/>
  <c r="D29" i="81"/>
  <c r="D24" i="81"/>
  <c r="D25" i="81"/>
  <c r="D26" i="81"/>
  <c r="D30" i="81"/>
  <c r="D27" i="81"/>
  <c r="D31" i="81"/>
  <c r="F19" i="81"/>
  <c r="H19" i="81" s="1"/>
  <c r="B97" i="81"/>
  <c r="F15" i="81"/>
  <c r="H15" i="81" s="1"/>
  <c r="B93" i="81"/>
  <c r="C43" i="48"/>
  <c r="H113" i="81"/>
  <c r="I30" i="53" s="1"/>
  <c r="I83" i="53" s="1"/>
  <c r="H30" i="53"/>
  <c r="H83" i="53" s="1"/>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B98" i="81"/>
  <c r="F14" i="81"/>
  <c r="H14" i="81" s="1"/>
  <c r="B92" i="81"/>
  <c r="J14" i="81"/>
  <c r="L14" i="81"/>
  <c r="N14" i="81"/>
  <c r="K14" i="81"/>
  <c r="M14" i="8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F16" i="81"/>
  <c r="H16" i="81" s="1"/>
  <c r="B94" i="81"/>
  <c r="F22" i="81"/>
  <c r="H22" i="81" s="1"/>
  <c r="B100" i="81"/>
  <c r="C100" i="81" s="1"/>
  <c r="D100" i="81" s="1"/>
  <c r="E100" i="81" s="1"/>
  <c r="F100" i="81" s="1"/>
  <c r="G100" i="81" s="1"/>
  <c r="H100" i="81" s="1"/>
  <c r="F18" i="81"/>
  <c r="H18" i="81" s="1"/>
  <c r="B96" i="81"/>
  <c r="F21" i="81"/>
  <c r="H21" i="81" s="1"/>
  <c r="B99" i="81"/>
  <c r="F17" i="81"/>
  <c r="H17" i="81" s="1"/>
  <c r="B95" i="81"/>
  <c r="D36" i="81"/>
  <c r="D35" i="81"/>
  <c r="F35" i="81" s="1"/>
  <c r="H35" i="81" s="1"/>
  <c r="D34" i="81"/>
  <c r="D33" i="81"/>
  <c r="C39" i="53"/>
  <c r="C92" i="53" s="1"/>
  <c r="I199" i="55"/>
  <c r="J199" i="55"/>
  <c r="I17" i="42"/>
  <c r="H27" i="42"/>
  <c r="H28" i="42"/>
  <c r="H29" i="42"/>
  <c r="H37" i="42"/>
  <c r="H43" i="42" s="1"/>
  <c r="F34" i="21" s="1"/>
  <c r="A168" i="53"/>
  <c r="A235" i="53" s="1"/>
  <c r="A100" i="53"/>
  <c r="A132" i="53"/>
  <c r="A199" i="53" s="1"/>
  <c r="A64" i="53"/>
  <c r="C44" i="22" l="1"/>
  <c r="D41" i="22" s="1"/>
  <c r="G119" i="84"/>
  <c r="G123" i="84"/>
  <c r="G121" i="84"/>
  <c r="G122" i="84"/>
  <c r="G120" i="84"/>
  <c r="G124" i="84"/>
  <c r="G124" i="29"/>
  <c r="G139" i="29"/>
  <c r="G154" i="29"/>
  <c r="G169" i="29"/>
  <c r="E54" i="22"/>
  <c r="E115" i="84"/>
  <c r="F115" i="84"/>
  <c r="D114" i="84"/>
  <c r="C29" i="83"/>
  <c r="D29" i="83" s="1"/>
  <c r="E29" i="83" s="1"/>
  <c r="F29" i="83" s="1"/>
  <c r="G29" i="83" s="1"/>
  <c r="H29" i="83" s="1"/>
  <c r="C28" i="83"/>
  <c r="D28" i="83" s="1"/>
  <c r="E28" i="83" s="1"/>
  <c r="F28" i="83" s="1"/>
  <c r="G28" i="83" s="1"/>
  <c r="H28" i="83" s="1"/>
  <c r="H76" i="84"/>
  <c r="H119" i="84" s="1"/>
  <c r="G115" i="84"/>
  <c r="G116" i="84"/>
  <c r="G117" i="84"/>
  <c r="I54" i="22"/>
  <c r="D6" i="62"/>
  <c r="F6" i="62" s="1"/>
  <c r="D114" i="57"/>
  <c r="D119"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G81" i="84"/>
  <c r="E14" i="21" s="1"/>
  <c r="C33" i="53"/>
  <c r="C86" i="53" s="1"/>
  <c r="D221" i="53" s="1"/>
  <c r="C35" i="53"/>
  <c r="C88" i="53" s="1"/>
  <c r="H35" i="61"/>
  <c r="E11" i="21"/>
  <c r="D161" i="53"/>
  <c r="D228" i="53"/>
  <c r="C57" i="53"/>
  <c r="C110" i="53" s="1"/>
  <c r="F34" i="81"/>
  <c r="H34" i="81" s="1"/>
  <c r="B111" i="81"/>
  <c r="B110" i="81"/>
  <c r="B70" i="81"/>
  <c r="B45" i="81"/>
  <c r="C34" i="53"/>
  <c r="C87" i="53" s="1"/>
  <c r="B50" i="81"/>
  <c r="B75" i="81"/>
  <c r="B69" i="81"/>
  <c r="B44" i="81"/>
  <c r="E35" i="61"/>
  <c r="B11" i="21"/>
  <c r="C9" i="53"/>
  <c r="C62" i="53" s="1"/>
  <c r="C92" i="81"/>
  <c r="C15" i="53"/>
  <c r="C68" i="53" s="1"/>
  <c r="C98" i="81"/>
  <c r="C36" i="53"/>
  <c r="C89" i="53" s="1"/>
  <c r="B47" i="81"/>
  <c r="B72" i="81"/>
  <c r="B103" i="81"/>
  <c r="F26" i="81"/>
  <c r="H26" i="81" s="1"/>
  <c r="B105" i="81"/>
  <c r="F28" i="81"/>
  <c r="H28" i="81" s="1"/>
  <c r="D33" i="53"/>
  <c r="D86" i="53" s="1"/>
  <c r="D39" i="53"/>
  <c r="D92" i="53" s="1"/>
  <c r="B61" i="81"/>
  <c r="B86" i="81"/>
  <c r="C86" i="81" s="1"/>
  <c r="D86" i="81" s="1"/>
  <c r="E86" i="81" s="1"/>
  <c r="F86" i="81" s="1"/>
  <c r="G86" i="81" s="1"/>
  <c r="H86" i="81" s="1"/>
  <c r="C16" i="53"/>
  <c r="C69" i="53" s="1"/>
  <c r="C99" i="81"/>
  <c r="C13" i="53"/>
  <c r="C66" i="53" s="1"/>
  <c r="C96" i="81"/>
  <c r="F35" i="61"/>
  <c r="C11" i="21"/>
  <c r="B42" i="81"/>
  <c r="B67" i="81"/>
  <c r="B73" i="81"/>
  <c r="B48" i="81"/>
  <c r="J219" i="53"/>
  <c r="J214" i="53"/>
  <c r="J243" i="53"/>
  <c r="J205" i="53"/>
  <c r="J152" i="53"/>
  <c r="J268" i="53"/>
  <c r="J265" i="53"/>
  <c r="J266" i="53"/>
  <c r="J267" i="53"/>
  <c r="B35" i="55"/>
  <c r="C10" i="53"/>
  <c r="C63" i="53" s="1"/>
  <c r="C93" i="81"/>
  <c r="B108" i="81"/>
  <c r="F31" i="81"/>
  <c r="H31" i="81" s="1"/>
  <c r="B102" i="81"/>
  <c r="F25" i="81"/>
  <c r="H25" i="81" s="1"/>
  <c r="C30" i="22"/>
  <c r="C31" i="22" s="1"/>
  <c r="F30" i="22"/>
  <c r="E30" i="22"/>
  <c r="D30" i="22"/>
  <c r="H30" i="22"/>
  <c r="G30" i="22"/>
  <c r="I30" i="22"/>
  <c r="K29" i="22"/>
  <c r="C37" i="53"/>
  <c r="C90" i="53" s="1"/>
  <c r="H34" i="42"/>
  <c r="B43" i="55"/>
  <c r="B100" i="55" s="1"/>
  <c r="D160" i="53"/>
  <c r="D227" i="53"/>
  <c r="C38" i="53"/>
  <c r="C91" i="53" s="1"/>
  <c r="B112" i="81"/>
  <c r="F36" i="81"/>
  <c r="H36" i="81" s="1"/>
  <c r="B74" i="81"/>
  <c r="B49" i="81"/>
  <c r="B46" i="81"/>
  <c r="B71" i="81"/>
  <c r="C56" i="53"/>
  <c r="C109" i="53" s="1"/>
  <c r="H51" i="61"/>
  <c r="E24" i="21"/>
  <c r="G45" i="42"/>
  <c r="G47" i="42" s="1"/>
  <c r="D41" i="53"/>
  <c r="D94" i="53" s="1"/>
  <c r="C54" i="53"/>
  <c r="C107" i="53" s="1"/>
  <c r="J33" i="48"/>
  <c r="K23" i="48"/>
  <c r="J35" i="48"/>
  <c r="J31" i="48"/>
  <c r="J36" i="48"/>
  <c r="J32" i="48"/>
  <c r="J37" i="48"/>
  <c r="J28" i="48"/>
  <c r="J34" i="48"/>
  <c r="J38" i="48"/>
  <c r="J52" i="48"/>
  <c r="J56" i="48" s="1"/>
  <c r="G35" i="21" s="1"/>
  <c r="I218" i="53"/>
  <c r="I151" i="53"/>
  <c r="E43" i="48"/>
  <c r="E49" i="48" s="1"/>
  <c r="K43" i="48"/>
  <c r="I43" i="48"/>
  <c r="I49" i="48" s="1"/>
  <c r="J43" i="48"/>
  <c r="J49" i="48" s="1"/>
  <c r="F43" i="48"/>
  <c r="F49" i="48" s="1"/>
  <c r="G43" i="48"/>
  <c r="G49" i="48" s="1"/>
  <c r="H43" i="48"/>
  <c r="H49" i="48" s="1"/>
  <c r="C55" i="53"/>
  <c r="C108" i="53" s="1"/>
  <c r="B43" i="81"/>
  <c r="B68" i="81"/>
  <c r="B104" i="81"/>
  <c r="F27" i="81"/>
  <c r="H27" i="81" s="1"/>
  <c r="B101" i="81"/>
  <c r="F24" i="81"/>
  <c r="H24" i="81" s="1"/>
  <c r="B42" i="55"/>
  <c r="B99" i="55" s="1"/>
  <c r="J30" i="48"/>
  <c r="B41" i="55"/>
  <c r="B98" i="55" s="1"/>
  <c r="J17" i="42"/>
  <c r="I27" i="42"/>
  <c r="I28" i="42"/>
  <c r="I29" i="42"/>
  <c r="I37" i="42"/>
  <c r="I43" i="42" s="1"/>
  <c r="G34" i="21" s="1"/>
  <c r="I21" i="42"/>
  <c r="I23" i="42" s="1"/>
  <c r="F33" i="81"/>
  <c r="H33" i="81" s="1"/>
  <c r="B109" i="81"/>
  <c r="C109" i="81" s="1"/>
  <c r="D109" i="81" s="1"/>
  <c r="E109" i="81" s="1"/>
  <c r="F109" i="81" s="1"/>
  <c r="G109" i="81" s="1"/>
  <c r="H109" i="81" s="1"/>
  <c r="C12" i="53"/>
  <c r="C65" i="53" s="1"/>
  <c r="C95" i="81"/>
  <c r="C11" i="53"/>
  <c r="C64" i="53" s="1"/>
  <c r="C94" i="81"/>
  <c r="D162" i="53"/>
  <c r="D229" i="53"/>
  <c r="G35" i="61"/>
  <c r="D11" i="21"/>
  <c r="I39" i="48"/>
  <c r="J218" i="53"/>
  <c r="J151" i="53"/>
  <c r="C14" i="53"/>
  <c r="C67" i="53" s="1"/>
  <c r="C97" i="81"/>
  <c r="F30" i="81"/>
  <c r="H30" i="81" s="1"/>
  <c r="B107" i="81"/>
  <c r="B106" i="81"/>
  <c r="F29" i="81"/>
  <c r="H29" i="81" s="1"/>
  <c r="G34" i="29"/>
  <c r="H122" i="84" l="1"/>
  <c r="H124" i="84"/>
  <c r="H123" i="84"/>
  <c r="H121" i="84"/>
  <c r="F114" i="84"/>
  <c r="F126" i="84" s="1"/>
  <c r="D37" i="21" s="1"/>
  <c r="D40" i="21" s="1"/>
  <c r="D126" i="84"/>
  <c r="B37" i="21" s="1"/>
  <c r="B40" i="21" s="1"/>
  <c r="H120" i="84"/>
  <c r="I78" i="22"/>
  <c r="E78" i="22"/>
  <c r="H78" i="22"/>
  <c r="D78" i="22"/>
  <c r="G78" i="22"/>
  <c r="C78" i="22"/>
  <c r="F78" i="22"/>
  <c r="E21" i="62"/>
  <c r="D4" i="23" s="1"/>
  <c r="D8" i="23" s="1"/>
  <c r="E140" i="29"/>
  <c r="E155" i="29"/>
  <c r="E170" i="29"/>
  <c r="E125" i="29"/>
  <c r="D140" i="29"/>
  <c r="D155" i="29"/>
  <c r="D170" i="29"/>
  <c r="D125" i="29"/>
  <c r="F170" i="29"/>
  <c r="F140" i="29"/>
  <c r="F155" i="29"/>
  <c r="F125" i="29"/>
  <c r="C125" i="29"/>
  <c r="C155" i="29"/>
  <c r="C170" i="29"/>
  <c r="C140" i="29"/>
  <c r="G114" i="84"/>
  <c r="G126" i="84" s="1"/>
  <c r="E114" i="84"/>
  <c r="C56" i="22"/>
  <c r="D53" i="22" s="1"/>
  <c r="D56" i="22" s="1"/>
  <c r="E53" i="22" s="1"/>
  <c r="E56" i="22" s="1"/>
  <c r="F53" i="22" s="1"/>
  <c r="F56" i="22" s="1"/>
  <c r="G53" i="22" s="1"/>
  <c r="G56" i="22" s="1"/>
  <c r="H53" i="22" s="1"/>
  <c r="H56" i="22" s="1"/>
  <c r="I53" i="22" s="1"/>
  <c r="I56" i="22" s="1"/>
  <c r="F55" i="22"/>
  <c r="G55" i="22" s="1"/>
  <c r="H55" i="22" s="1"/>
  <c r="I55" i="22" s="1"/>
  <c r="I76" i="84"/>
  <c r="I119" i="84" s="1"/>
  <c r="H117" i="84"/>
  <c r="H114" i="84"/>
  <c r="H116" i="84"/>
  <c r="H115"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20" i="62" s="1"/>
  <c r="B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C23" i="53"/>
  <c r="C76" i="53" s="1"/>
  <c r="C106" i="81"/>
  <c r="D135" i="53"/>
  <c r="D202" i="53"/>
  <c r="B36" i="55"/>
  <c r="B93" i="55" s="1"/>
  <c r="J38" i="61"/>
  <c r="G10" i="21"/>
  <c r="I34" i="42"/>
  <c r="C52" i="53"/>
  <c r="C105" i="53" s="1"/>
  <c r="D173" i="53" s="1"/>
  <c r="B51" i="81"/>
  <c r="B76" i="81"/>
  <c r="C68" i="81"/>
  <c r="E25" i="21"/>
  <c r="H48" i="61"/>
  <c r="H57" i="48"/>
  <c r="H59" i="48" s="1"/>
  <c r="I48" i="61"/>
  <c r="F25" i="21"/>
  <c r="I57" i="48"/>
  <c r="J39" i="48"/>
  <c r="D241" i="53"/>
  <c r="D177" i="53"/>
  <c r="C74" i="81"/>
  <c r="D226" i="53"/>
  <c r="D159" i="53"/>
  <c r="C49" i="53"/>
  <c r="C102" i="53" s="1"/>
  <c r="D265" i="55"/>
  <c r="B152" i="55"/>
  <c r="D211" i="55" s="1"/>
  <c r="D158" i="53"/>
  <c r="D225" i="53"/>
  <c r="B52" i="81"/>
  <c r="B77" i="81"/>
  <c r="D93" i="81"/>
  <c r="D10" i="53"/>
  <c r="D63" i="53" s="1"/>
  <c r="C35" i="55"/>
  <c r="J273" i="53"/>
  <c r="H36" i="21" s="1"/>
  <c r="B11" i="55"/>
  <c r="C42" i="81"/>
  <c r="D35" i="29"/>
  <c r="K56" i="22"/>
  <c r="L53" i="22" s="1"/>
  <c r="D99" i="81"/>
  <c r="D16" i="53"/>
  <c r="D69" i="53" s="1"/>
  <c r="E221" i="53"/>
  <c r="E154" i="53"/>
  <c r="C20" i="53"/>
  <c r="C73" i="53" s="1"/>
  <c r="C103" i="81"/>
  <c r="D157" i="53"/>
  <c r="D224" i="53"/>
  <c r="D136" i="53"/>
  <c r="D203" i="53"/>
  <c r="C35" i="29"/>
  <c r="H43" i="22"/>
  <c r="C75" i="81"/>
  <c r="B14" i="55"/>
  <c r="B71" i="55" s="1"/>
  <c r="C45" i="81"/>
  <c r="B60" i="81"/>
  <c r="B85" i="81"/>
  <c r="C47" i="53"/>
  <c r="C100" i="53" s="1"/>
  <c r="C24" i="53"/>
  <c r="C77" i="53" s="1"/>
  <c r="C107" i="81"/>
  <c r="B59" i="81"/>
  <c r="B84" i="81"/>
  <c r="C48" i="53"/>
  <c r="C101" i="53" s="1"/>
  <c r="E40" i="53"/>
  <c r="E93" i="53" s="1"/>
  <c r="J29" i="42"/>
  <c r="J27" i="42"/>
  <c r="J34" i="42" s="1"/>
  <c r="J28" i="42"/>
  <c r="J37" i="42"/>
  <c r="J43" i="42" s="1"/>
  <c r="H34" i="21" s="1"/>
  <c r="J21" i="42"/>
  <c r="J23" i="42" s="1"/>
  <c r="C41" i="55"/>
  <c r="C98" i="55" s="1"/>
  <c r="C18" i="53"/>
  <c r="C71" i="53" s="1"/>
  <c r="C101" i="81"/>
  <c r="B12" i="55"/>
  <c r="B69" i="55" s="1"/>
  <c r="C43" i="81"/>
  <c r="G48" i="61"/>
  <c r="D25" i="21"/>
  <c r="G57" i="48"/>
  <c r="G59" i="48" s="1"/>
  <c r="C71" i="81"/>
  <c r="B62" i="81"/>
  <c r="B87" i="81"/>
  <c r="C87" i="81" s="1"/>
  <c r="D87" i="81" s="1"/>
  <c r="E87" i="81" s="1"/>
  <c r="F87" i="81" s="1"/>
  <c r="G87" i="81" s="1"/>
  <c r="H87" i="81" s="1"/>
  <c r="F24" i="21"/>
  <c r="I51" i="61"/>
  <c r="H45" i="42"/>
  <c r="H47" i="42" s="1"/>
  <c r="D31" i="22"/>
  <c r="E31" i="22" s="1"/>
  <c r="F31" i="22" s="1"/>
  <c r="G31" i="22" s="1"/>
  <c r="H31" i="22" s="1"/>
  <c r="I31" i="22" s="1"/>
  <c r="C19" i="53"/>
  <c r="C72" i="53" s="1"/>
  <c r="C102" i="81"/>
  <c r="D131" i="53"/>
  <c r="D198" i="53"/>
  <c r="B92" i="55"/>
  <c r="B17" i="55"/>
  <c r="B74" i="55" s="1"/>
  <c r="C48" i="81"/>
  <c r="B56" i="55"/>
  <c r="B113" i="55" s="1"/>
  <c r="B58" i="55"/>
  <c r="B115" i="55" s="1"/>
  <c r="D137" i="53"/>
  <c r="D204" i="53"/>
  <c r="B40" i="55"/>
  <c r="B97" i="55" s="1"/>
  <c r="C42" i="53"/>
  <c r="C95" i="53" s="1"/>
  <c r="C50" i="53"/>
  <c r="C103" i="53" s="1"/>
  <c r="E33" i="53"/>
  <c r="E86" i="53" s="1"/>
  <c r="B39" i="55"/>
  <c r="B96" i="55" s="1"/>
  <c r="B55" i="81"/>
  <c r="B80" i="81"/>
  <c r="C72" i="81"/>
  <c r="D92" i="81"/>
  <c r="D9" i="53"/>
  <c r="D62" i="53" s="1"/>
  <c r="B19" i="55"/>
  <c r="B76" i="55" s="1"/>
  <c r="C50" i="81"/>
  <c r="C70" i="81"/>
  <c r="D57" i="53"/>
  <c r="D110" i="53" s="1"/>
  <c r="B57" i="81"/>
  <c r="B82" i="81"/>
  <c r="C26" i="83"/>
  <c r="B38" i="55"/>
  <c r="B95" i="55" s="1"/>
  <c r="D94" i="81"/>
  <c r="D11" i="53"/>
  <c r="D64" i="53" s="1"/>
  <c r="D95" i="81"/>
  <c r="D12" i="53"/>
  <c r="D65" i="53" s="1"/>
  <c r="B150" i="55"/>
  <c r="D209" i="55" s="1"/>
  <c r="D263" i="55"/>
  <c r="C42" i="55"/>
  <c r="C99" i="55" s="1"/>
  <c r="B54" i="81"/>
  <c r="B79" i="8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46" i="81"/>
  <c r="C29" i="53"/>
  <c r="C82" i="53" s="1"/>
  <c r="C112" i="81"/>
  <c r="C45" i="53"/>
  <c r="C98" i="53" s="1"/>
  <c r="C53" i="53"/>
  <c r="C106" i="53" s="1"/>
  <c r="D174" i="53" s="1"/>
  <c r="K30" i="22"/>
  <c r="K31" i="22" s="1"/>
  <c r="B58" i="81"/>
  <c r="B83" i="81"/>
  <c r="C73" i="81"/>
  <c r="D96" i="81"/>
  <c r="D13" i="53"/>
  <c r="D66" i="53" s="1"/>
  <c r="E227" i="53"/>
  <c r="E160" i="53"/>
  <c r="F41" i="22"/>
  <c r="C22" i="53"/>
  <c r="C75" i="53" s="1"/>
  <c r="C105" i="81"/>
  <c r="B16" i="55"/>
  <c r="B73" i="55" s="1"/>
  <c r="C47" i="81"/>
  <c r="D130" i="53"/>
  <c r="D197" i="53"/>
  <c r="B13" i="55"/>
  <c r="B70" i="55" s="1"/>
  <c r="C44" i="81"/>
  <c r="D34" i="53"/>
  <c r="D87" i="53" s="1"/>
  <c r="C27" i="53"/>
  <c r="C80" i="53" s="1"/>
  <c r="C110" i="81"/>
  <c r="D178" i="53"/>
  <c r="D242" i="53"/>
  <c r="C43" i="53"/>
  <c r="C96" i="53" s="1"/>
  <c r="F35" i="29"/>
  <c r="B56" i="81"/>
  <c r="B81" i="81"/>
  <c r="D97" i="81"/>
  <c r="D14" i="53"/>
  <c r="D67" i="53" s="1"/>
  <c r="I35" i="61"/>
  <c r="F11" i="21"/>
  <c r="I59" i="48"/>
  <c r="E35" i="29"/>
  <c r="D132" i="53"/>
  <c r="D199" i="53"/>
  <c r="D133" i="53"/>
  <c r="D200" i="53"/>
  <c r="B59" i="55"/>
  <c r="B116" i="55" s="1"/>
  <c r="C44" i="53"/>
  <c r="C97" i="53" s="1"/>
  <c r="B151" i="55"/>
  <c r="D210" i="55" s="1"/>
  <c r="D264" i="55"/>
  <c r="C21" i="53"/>
  <c r="C74" i="53" s="1"/>
  <c r="C104" i="81"/>
  <c r="D176" i="53"/>
  <c r="D240" i="53"/>
  <c r="G25" i="21"/>
  <c r="J48" i="61"/>
  <c r="J57" i="48"/>
  <c r="D175" i="53"/>
  <c r="D239" i="53"/>
  <c r="E41" i="53"/>
  <c r="E94" i="53" s="1"/>
  <c r="D56" i="53"/>
  <c r="D109" i="53" s="1"/>
  <c r="B18" i="55"/>
  <c r="B75" i="55" s="1"/>
  <c r="C49" i="81"/>
  <c r="D38" i="53"/>
  <c r="D91" i="53" s="1"/>
  <c r="C43" i="55"/>
  <c r="C100" i="55" s="1"/>
  <c r="D37" i="53"/>
  <c r="D90" i="53" s="1"/>
  <c r="C25" i="53"/>
  <c r="C78" i="53" s="1"/>
  <c r="C108" i="81"/>
  <c r="B57" i="55"/>
  <c r="B114" i="55" s="1"/>
  <c r="C67" i="81"/>
  <c r="D134" i="53"/>
  <c r="D201" i="53"/>
  <c r="B30" i="55"/>
  <c r="B87" i="55" s="1"/>
  <c r="C61" i="81"/>
  <c r="C46" i="53"/>
  <c r="C99" i="53" s="1"/>
  <c r="E39" i="53"/>
  <c r="E92" i="53" s="1"/>
  <c r="B53" i="81"/>
  <c r="B78" i="81"/>
  <c r="D45" i="83"/>
  <c r="D36" i="53"/>
  <c r="D89" i="53" s="1"/>
  <c r="D98" i="81"/>
  <c r="D15" i="53"/>
  <c r="D68" i="53" s="1"/>
  <c r="C69" i="81"/>
  <c r="D155" i="53"/>
  <c r="D222" i="53"/>
  <c r="C28" i="53"/>
  <c r="C81" i="53" s="1"/>
  <c r="C111" i="81"/>
  <c r="I123" i="84" l="1"/>
  <c r="C131" i="29"/>
  <c r="E126" i="84"/>
  <c r="C37" i="21" s="1"/>
  <c r="C40" i="21" s="1"/>
  <c r="I120" i="84"/>
  <c r="I121" i="84"/>
  <c r="H126" i="84"/>
  <c r="F37" i="21" s="1"/>
  <c r="F40" i="21" s="1"/>
  <c r="I124" i="84"/>
  <c r="I122" i="84"/>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H124" i="29"/>
  <c r="H139" i="29"/>
  <c r="H154" i="29"/>
  <c r="H169" i="29"/>
  <c r="G125" i="29"/>
  <c r="G140" i="29"/>
  <c r="G155" i="29"/>
  <c r="G170" i="29"/>
  <c r="C10" i="68"/>
  <c r="C161" i="29"/>
  <c r="C176" i="29"/>
  <c r="C146" i="29"/>
  <c r="C25" i="68"/>
  <c r="H47" i="21"/>
  <c r="I79" i="22"/>
  <c r="G47" i="21"/>
  <c r="H79" i="22"/>
  <c r="E161" i="29"/>
  <c r="E146" i="29"/>
  <c r="E131" i="29"/>
  <c r="E176" i="29"/>
  <c r="I36" i="22"/>
  <c r="I58" i="22" s="1"/>
  <c r="H46" i="21" s="1"/>
  <c r="I57" i="29" s="1"/>
  <c r="J76" i="84"/>
  <c r="J119" i="84" s="1"/>
  <c r="I114" i="84"/>
  <c r="I115" i="84"/>
  <c r="I116" i="84"/>
  <c r="I117"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C118" i="53"/>
  <c r="D187" i="53" s="1"/>
  <c r="E35" i="53"/>
  <c r="E88" i="53" s="1"/>
  <c r="C37" i="55"/>
  <c r="C94" i="55" s="1"/>
  <c r="E223" i="53"/>
  <c r="E156" i="53"/>
  <c r="B146" i="55"/>
  <c r="D205" i="55" s="1"/>
  <c r="D259" i="55"/>
  <c r="K48" i="61"/>
  <c r="H25" i="21"/>
  <c r="K57" i="48"/>
  <c r="B49" i="55"/>
  <c r="B106" i="55" s="1"/>
  <c r="E98" i="81"/>
  <c r="E15" i="53"/>
  <c r="E68" i="53" s="1"/>
  <c r="B22" i="55"/>
  <c r="B79" i="55" s="1"/>
  <c r="C53" i="81"/>
  <c r="D167" i="53"/>
  <c r="D234" i="53"/>
  <c r="D146" i="53"/>
  <c r="D213" i="53"/>
  <c r="D43" i="55"/>
  <c r="D100" i="55" s="1"/>
  <c r="E38" i="53"/>
  <c r="E91" i="53" s="1"/>
  <c r="E56" i="53"/>
  <c r="E109" i="53" s="1"/>
  <c r="C59" i="55"/>
  <c r="C116" i="55" s="1"/>
  <c r="G35" i="29"/>
  <c r="C81" i="81"/>
  <c r="D164" i="53"/>
  <c r="D231" i="53"/>
  <c r="D148" i="53"/>
  <c r="D215" i="53"/>
  <c r="B122" i="55"/>
  <c r="D180" i="55" s="1"/>
  <c r="D235" i="55"/>
  <c r="C114" i="53"/>
  <c r="D47" i="81"/>
  <c r="C16" i="55"/>
  <c r="C73" i="55" s="1"/>
  <c r="E134" i="53"/>
  <c r="E201" i="53"/>
  <c r="D150" i="53"/>
  <c r="D217" i="53"/>
  <c r="C79" i="81"/>
  <c r="E200" i="53"/>
  <c r="E133" i="53"/>
  <c r="B147" i="55"/>
  <c r="D206" i="55" s="1"/>
  <c r="D260" i="55"/>
  <c r="B45" i="55"/>
  <c r="B102" i="55" s="1"/>
  <c r="E92" i="81"/>
  <c r="E9" i="53"/>
  <c r="E62" i="53" s="1"/>
  <c r="B24" i="55"/>
  <c r="B81" i="55" s="1"/>
  <c r="C55" i="8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C84" i="81"/>
  <c r="B29" i="55"/>
  <c r="B86" i="55" s="1"/>
  <c r="C60" i="81"/>
  <c r="D103" i="81"/>
  <c r="D20" i="53"/>
  <c r="D73" i="53" s="1"/>
  <c r="E204" i="53"/>
  <c r="E137" i="53"/>
  <c r="B68" i="55"/>
  <c r="E198" i="53"/>
  <c r="E131" i="53"/>
  <c r="G11" i="21"/>
  <c r="J35" i="61"/>
  <c r="J59" i="48"/>
  <c r="D10" i="23"/>
  <c r="F10" i="23" s="1"/>
  <c r="B145" i="55"/>
  <c r="D204" i="55" s="1"/>
  <c r="D258" i="55"/>
  <c r="D111" i="81"/>
  <c r="D28" i="53"/>
  <c r="D81" i="53" s="1"/>
  <c r="E157" i="53"/>
  <c r="E224" i="53"/>
  <c r="D61" i="81"/>
  <c r="C30" i="55"/>
  <c r="C87" i="55" s="1"/>
  <c r="B166" i="55"/>
  <c r="D225" i="55" s="1"/>
  <c r="D276" i="55"/>
  <c r="F229" i="53"/>
  <c r="F162" i="53"/>
  <c r="B25" i="55"/>
  <c r="B82" i="55" s="1"/>
  <c r="C56" i="81"/>
  <c r="E155" i="53"/>
  <c r="E222" i="53"/>
  <c r="B125" i="55"/>
  <c r="D183" i="55" s="1"/>
  <c r="D238" i="55"/>
  <c r="F44" i="22"/>
  <c r="E96" i="81"/>
  <c r="E13" i="53"/>
  <c r="E66" i="53" s="1"/>
  <c r="D73" i="81"/>
  <c r="C83" i="81"/>
  <c r="D53" i="53"/>
  <c r="D106" i="53" s="1"/>
  <c r="E174" i="53" s="1"/>
  <c r="D45" i="53"/>
  <c r="D98" i="53" s="1"/>
  <c r="D46" i="81"/>
  <c r="C15" i="55"/>
  <c r="C72" i="55" s="1"/>
  <c r="E239" i="53"/>
  <c r="E175" i="53"/>
  <c r="K39" i="48"/>
  <c r="B23" i="55"/>
  <c r="B80" i="55" s="1"/>
  <c r="C54" i="81"/>
  <c r="M42" i="22"/>
  <c r="B46" i="55"/>
  <c r="B103" i="55" s="1"/>
  <c r="E95" i="81"/>
  <c r="E12" i="53"/>
  <c r="E65" i="53" s="1"/>
  <c r="D26" i="83"/>
  <c r="C38" i="55"/>
  <c r="C95" i="55" s="1"/>
  <c r="E242" i="53"/>
  <c r="E178" i="53"/>
  <c r="D50" i="81"/>
  <c r="C19" i="55"/>
  <c r="C76" i="55" s="1"/>
  <c r="D72" i="81"/>
  <c r="C39" i="55"/>
  <c r="C96" i="55" s="1"/>
  <c r="D42" i="53"/>
  <c r="D95" i="53" s="1"/>
  <c r="C56" i="55"/>
  <c r="C113" i="55" s="1"/>
  <c r="D101" i="81"/>
  <c r="D18" i="53"/>
  <c r="D71" i="53" s="1"/>
  <c r="D41" i="55"/>
  <c r="D98" i="55" s="1"/>
  <c r="H24" i="21"/>
  <c r="K51" i="61"/>
  <c r="J45" i="42"/>
  <c r="F40" i="53"/>
  <c r="F93" i="53" s="1"/>
  <c r="B28" i="55"/>
  <c r="B85" i="55" s="1"/>
  <c r="C59" i="81"/>
  <c r="D47" i="53"/>
  <c r="D100" i="53" s="1"/>
  <c r="D45" i="81"/>
  <c r="C14" i="55"/>
  <c r="C71" i="55" s="1"/>
  <c r="D141" i="53"/>
  <c r="D208" i="53"/>
  <c r="B44" i="55"/>
  <c r="B101" i="55" s="1"/>
  <c r="E99" i="81"/>
  <c r="E16" i="53"/>
  <c r="E69" i="53" s="1"/>
  <c r="L54" i="22"/>
  <c r="L55" i="22" s="1"/>
  <c r="E93" i="81"/>
  <c r="E10" i="53"/>
  <c r="E63" i="53" s="1"/>
  <c r="C76" i="81"/>
  <c r="D52" i="53"/>
  <c r="D105" i="53" s="1"/>
  <c r="E173" i="53" s="1"/>
  <c r="H34" i="29"/>
  <c r="D106" i="81"/>
  <c r="D23" i="53"/>
  <c r="D76" i="53" s="1"/>
  <c r="D69" i="81"/>
  <c r="F227" i="53"/>
  <c r="F160" i="53"/>
  <c r="E225" i="53"/>
  <c r="E158" i="53"/>
  <c r="D49" i="81"/>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104" i="81"/>
  <c r="D21" i="53"/>
  <c r="D74" i="53" s="1"/>
  <c r="D44" i="53"/>
  <c r="D97" i="53" s="1"/>
  <c r="E202" i="53"/>
  <c r="E135" i="53"/>
  <c r="E34" i="53"/>
  <c r="E87" i="53" s="1"/>
  <c r="C119" i="53"/>
  <c r="D105" i="81"/>
  <c r="D22" i="53"/>
  <c r="D75" i="53" s="1"/>
  <c r="B27" i="55"/>
  <c r="B84" i="55" s="1"/>
  <c r="C58" i="81"/>
  <c r="K32" i="22"/>
  <c r="D166" i="53"/>
  <c r="D233" i="53"/>
  <c r="B124" i="55"/>
  <c r="D182" i="55" s="1"/>
  <c r="D237" i="55"/>
  <c r="E54" i="53"/>
  <c r="E107" i="53" s="1"/>
  <c r="E176" i="53"/>
  <c r="E240" i="53"/>
  <c r="E264" i="55"/>
  <c r="C151" i="55"/>
  <c r="E210" i="55" s="1"/>
  <c r="E132" i="53"/>
  <c r="E199" i="53"/>
  <c r="C82" i="81"/>
  <c r="E57" i="53"/>
  <c r="E110" i="53" s="1"/>
  <c r="B128" i="55"/>
  <c r="D186" i="55" s="1"/>
  <c r="D241" i="55"/>
  <c r="B148" i="55"/>
  <c r="D207" i="55" s="1"/>
  <c r="D261" i="55"/>
  <c r="D163" i="53"/>
  <c r="D230" i="53"/>
  <c r="B165" i="55"/>
  <c r="D224" i="55" s="1"/>
  <c r="D275" i="55"/>
  <c r="D257" i="55"/>
  <c r="B144" i="55"/>
  <c r="D203" i="55" s="1"/>
  <c r="B31" i="55"/>
  <c r="B88" i="55" s="1"/>
  <c r="C62" i="81"/>
  <c r="D139" i="53"/>
  <c r="D206" i="53"/>
  <c r="H10" i="21"/>
  <c r="K38" i="61"/>
  <c r="J47" i="42"/>
  <c r="D48" i="53"/>
  <c r="D101" i="53" s="1"/>
  <c r="D107" i="81"/>
  <c r="D24" i="53"/>
  <c r="D77" i="53" s="1"/>
  <c r="D168" i="53"/>
  <c r="D235" i="53"/>
  <c r="B123" i="55"/>
  <c r="D181" i="55" s="1"/>
  <c r="D236" i="55"/>
  <c r="I43" i="22"/>
  <c r="C92" i="55"/>
  <c r="C77" i="81"/>
  <c r="D49" i="53"/>
  <c r="D102" i="53" s="1"/>
  <c r="D74" i="81"/>
  <c r="B20" i="55"/>
  <c r="B77" i="55" s="1"/>
  <c r="C51" i="81"/>
  <c r="B50" i="55"/>
  <c r="B107" i="55" s="1"/>
  <c r="D144" i="53"/>
  <c r="D211" i="53"/>
  <c r="E136" i="53"/>
  <c r="E203" i="53"/>
  <c r="C78" i="81"/>
  <c r="D46" i="53"/>
  <c r="D99" i="53" s="1"/>
  <c r="D67" i="81"/>
  <c r="D108" i="81"/>
  <c r="D25" i="53"/>
  <c r="D78" i="53" s="1"/>
  <c r="E265" i="55"/>
  <c r="C152" i="55"/>
  <c r="E211" i="55" s="1"/>
  <c r="E159" i="53"/>
  <c r="E226" i="53"/>
  <c r="E241" i="53"/>
  <c r="E177" i="53"/>
  <c r="D142" i="53"/>
  <c r="D209" i="53"/>
  <c r="E107" i="29"/>
  <c r="D88" i="22"/>
  <c r="F93" i="29"/>
  <c r="E57" i="29"/>
  <c r="F11" i="29"/>
  <c r="D165" i="53"/>
  <c r="D232" i="53"/>
  <c r="E97" i="81"/>
  <c r="E14" i="53"/>
  <c r="E67" i="53" s="1"/>
  <c r="D43" i="53"/>
  <c r="D96" i="53" s="1"/>
  <c r="D110" i="81"/>
  <c r="D27" i="53"/>
  <c r="D80" i="53" s="1"/>
  <c r="D44" i="81"/>
  <c r="C13" i="55"/>
  <c r="C70" i="55" s="1"/>
  <c r="C116" i="53"/>
  <c r="C115" i="53"/>
  <c r="D143" i="53"/>
  <c r="D210" i="53"/>
  <c r="B48" i="55"/>
  <c r="B105" i="55" s="1"/>
  <c r="D112" i="81"/>
  <c r="D29" i="53"/>
  <c r="D82" i="53" s="1"/>
  <c r="E55" i="53"/>
  <c r="E108" i="53" s="1"/>
  <c r="D42" i="55"/>
  <c r="D99" i="55" s="1"/>
  <c r="E94" i="81"/>
  <c r="E11" i="53"/>
  <c r="E64" i="53" s="1"/>
  <c r="B26" i="55"/>
  <c r="B83" i="55" s="1"/>
  <c r="C57" i="81"/>
  <c r="D70" i="81"/>
  <c r="E130" i="53"/>
  <c r="E197" i="53"/>
  <c r="C80" i="81"/>
  <c r="F221" i="53"/>
  <c r="F154" i="53"/>
  <c r="D50" i="53"/>
  <c r="D103" i="53" s="1"/>
  <c r="C40" i="55"/>
  <c r="C97" i="55" s="1"/>
  <c r="C58" i="55"/>
  <c r="C115" i="55" s="1"/>
  <c r="D48" i="81"/>
  <c r="C17" i="55"/>
  <c r="C74" i="55" s="1"/>
  <c r="D102" i="81"/>
  <c r="D19" i="53"/>
  <c r="D72" i="53" s="1"/>
  <c r="D71" i="81"/>
  <c r="D43" i="81"/>
  <c r="C12" i="55"/>
  <c r="C69" i="55" s="1"/>
  <c r="D169" i="53"/>
  <c r="D236" i="53"/>
  <c r="D145" i="53"/>
  <c r="D212" i="53"/>
  <c r="C85" i="81"/>
  <c r="D75" i="81"/>
  <c r="B52" i="55"/>
  <c r="B109" i="55" s="1"/>
  <c r="D42" i="81"/>
  <c r="C11" i="55"/>
  <c r="D35" i="55"/>
  <c r="B21" i="55"/>
  <c r="B78" i="55" s="1"/>
  <c r="C52" i="81"/>
  <c r="D170" i="53"/>
  <c r="D237" i="53"/>
  <c r="D68" i="81"/>
  <c r="G24" i="21"/>
  <c r="J51" i="61"/>
  <c r="I45" i="42"/>
  <c r="I47" i="42" s="1"/>
  <c r="C36" i="55"/>
  <c r="C93" i="55" s="1"/>
  <c r="D51" i="53"/>
  <c r="D104" i="53" s="1"/>
  <c r="E172" i="53" s="1"/>
  <c r="M43" i="22" l="1"/>
  <c r="J124" i="84"/>
  <c r="J120" i="84"/>
  <c r="J123" i="84"/>
  <c r="D131" i="29"/>
  <c r="D146" i="29"/>
  <c r="D161" i="29"/>
  <c r="D25" i="68"/>
  <c r="D176" i="29"/>
  <c r="I126" i="84"/>
  <c r="J122" i="84"/>
  <c r="J121" i="84"/>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4" i="84"/>
  <c r="J116"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250" i="53"/>
  <c r="D37" i="55"/>
  <c r="D94" i="55" s="1"/>
  <c r="C146" i="55"/>
  <c r="E205" i="55" s="1"/>
  <c r="E259" i="55"/>
  <c r="F35" i="53"/>
  <c r="F88" i="53" s="1"/>
  <c r="D116" i="53"/>
  <c r="E184" i="53" s="1"/>
  <c r="D254" i="53"/>
  <c r="F223" i="53"/>
  <c r="F156" i="53"/>
  <c r="E247" i="53"/>
  <c r="E35" i="55"/>
  <c r="B161" i="55"/>
  <c r="D220" i="55" s="1"/>
  <c r="D274" i="55"/>
  <c r="E234" i="55"/>
  <c r="C121" i="55"/>
  <c r="E179" i="55" s="1"/>
  <c r="C126" i="55"/>
  <c r="E184" i="55" s="1"/>
  <c r="E239" i="55"/>
  <c r="E262" i="55"/>
  <c r="C149" i="55"/>
  <c r="E208" i="55" s="1"/>
  <c r="D119" i="53"/>
  <c r="B135" i="55"/>
  <c r="D193" i="55" s="1"/>
  <c r="D248" i="55"/>
  <c r="E42" i="55"/>
  <c r="E99" i="55" s="1"/>
  <c r="E112" i="81"/>
  <c r="E29" i="53"/>
  <c r="E82" i="53" s="1"/>
  <c r="D184" i="53"/>
  <c r="D247" i="53"/>
  <c r="E110" i="81"/>
  <c r="E27" i="53"/>
  <c r="E80" i="53" s="1"/>
  <c r="F202" i="53"/>
  <c r="F135" i="53"/>
  <c r="D78" i="81"/>
  <c r="B159" i="55"/>
  <c r="D218" i="55" s="1"/>
  <c r="D272" i="55"/>
  <c r="B129" i="55"/>
  <c r="D187" i="55" s="1"/>
  <c r="D242" i="55"/>
  <c r="E49" i="53"/>
  <c r="E102" i="53" s="1"/>
  <c r="E145" i="53"/>
  <c r="E212" i="53"/>
  <c r="E169" i="53"/>
  <c r="E236" i="53"/>
  <c r="I34" i="29"/>
  <c r="D82" i="81"/>
  <c r="L29" i="22"/>
  <c r="K60" i="22"/>
  <c r="D188" i="53"/>
  <c r="D251" i="53"/>
  <c r="G41" i="53"/>
  <c r="G94" i="53" s="1"/>
  <c r="B160" i="55"/>
  <c r="D219" i="55" s="1"/>
  <c r="D273" i="55"/>
  <c r="D57" i="55"/>
  <c r="D114" i="55" s="1"/>
  <c r="G39" i="53"/>
  <c r="G92" i="53" s="1"/>
  <c r="E49" i="81"/>
  <c r="D18" i="55"/>
  <c r="D75" i="55" s="1"/>
  <c r="E106" i="81"/>
  <c r="E23" i="53"/>
  <c r="E76" i="53" s="1"/>
  <c r="D76" i="81"/>
  <c r="F93" i="81"/>
  <c r="F10" i="53"/>
  <c r="F63" i="53" s="1"/>
  <c r="F99" i="81"/>
  <c r="F16" i="53"/>
  <c r="F69" i="53" s="1"/>
  <c r="E47" i="53"/>
  <c r="E100" i="53" s="1"/>
  <c r="G228" i="53"/>
  <c r="G161" i="53"/>
  <c r="E101" i="81"/>
  <c r="E18" i="53"/>
  <c r="E71" i="53" s="1"/>
  <c r="B61" i="55"/>
  <c r="E42" i="53"/>
  <c r="E95" i="53" s="1"/>
  <c r="E72" i="81"/>
  <c r="E26" i="83"/>
  <c r="D38" i="55"/>
  <c r="D95" i="55" s="1"/>
  <c r="B155" i="55"/>
  <c r="D214" i="55" s="1"/>
  <c r="D268" i="55"/>
  <c r="D54" i="81"/>
  <c r="C23" i="55"/>
  <c r="C80" i="55" s="1"/>
  <c r="E45" i="53"/>
  <c r="E98" i="53" s="1"/>
  <c r="D83" i="81"/>
  <c r="F134" i="53"/>
  <c r="F201" i="53"/>
  <c r="D56" i="81"/>
  <c r="C25" i="55"/>
  <c r="C82" i="55" s="1"/>
  <c r="B120" i="55"/>
  <c r="D233" i="55"/>
  <c r="D60" i="81"/>
  <c r="C29" i="55"/>
  <c r="C86" i="55" s="1"/>
  <c r="D84" i="81"/>
  <c r="C47" i="55"/>
  <c r="C104" i="55" s="1"/>
  <c r="G33" i="53"/>
  <c r="G86" i="53" s="1"/>
  <c r="F92" i="81"/>
  <c r="F9" i="53"/>
  <c r="F62" i="53" s="1"/>
  <c r="C45" i="55"/>
  <c r="C102" i="55" s="1"/>
  <c r="D79" i="81"/>
  <c r="F56" i="53"/>
  <c r="F109" i="53" s="1"/>
  <c r="E43" i="55"/>
  <c r="E100" i="55" s="1"/>
  <c r="B131" i="55"/>
  <c r="D189" i="55" s="1"/>
  <c r="D244" i="55"/>
  <c r="B158" i="55"/>
  <c r="D217" i="55" s="1"/>
  <c r="D271" i="55"/>
  <c r="D36" i="55"/>
  <c r="D93" i="55" s="1"/>
  <c r="D52" i="81"/>
  <c r="C21" i="55"/>
  <c r="C78" i="55" s="1"/>
  <c r="C68" i="55"/>
  <c r="E75" i="81"/>
  <c r="E43" i="81"/>
  <c r="D12" i="55"/>
  <c r="D69" i="55" s="1"/>
  <c r="D17" i="55"/>
  <c r="D74" i="55" s="1"/>
  <c r="E48" i="81"/>
  <c r="D40" i="55"/>
  <c r="D97" i="55" s="1"/>
  <c r="F199" i="53"/>
  <c r="F132" i="53"/>
  <c r="F240" i="53"/>
  <c r="F176" i="53"/>
  <c r="C48" i="55"/>
  <c r="C105" i="55" s="1"/>
  <c r="C122" i="55"/>
  <c r="E180" i="55" s="1"/>
  <c r="E235" i="55"/>
  <c r="E231" i="53"/>
  <c r="E164" i="53"/>
  <c r="F97" i="81"/>
  <c r="F14" i="53"/>
  <c r="F67" i="53" s="1"/>
  <c r="E67" i="81"/>
  <c r="E257" i="55"/>
  <c r="C144" i="55"/>
  <c r="E203" i="55" s="1"/>
  <c r="E107" i="81"/>
  <c r="E24" i="53"/>
  <c r="E77" i="53" s="1"/>
  <c r="E48" i="53"/>
  <c r="E101" i="53" s="1"/>
  <c r="D62" i="81"/>
  <c r="C31" i="55"/>
  <c r="C88" i="55" s="1"/>
  <c r="D58" i="81"/>
  <c r="C27" i="55"/>
  <c r="C84" i="55" s="1"/>
  <c r="F222" i="53"/>
  <c r="F155" i="53"/>
  <c r="E165" i="53"/>
  <c r="E232" i="53"/>
  <c r="E209" i="53"/>
  <c r="E142" i="53"/>
  <c r="F225" i="53"/>
  <c r="F158" i="53"/>
  <c r="F157" i="53"/>
  <c r="F224" i="53"/>
  <c r="E69" i="81"/>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96" i="81"/>
  <c r="F13" i="53"/>
  <c r="F66" i="53" s="1"/>
  <c r="B134" i="55"/>
  <c r="D192" i="55" s="1"/>
  <c r="D247" i="55"/>
  <c r="B33" i="55"/>
  <c r="B138" i="55"/>
  <c r="D196" i="55" s="1"/>
  <c r="D251" i="55"/>
  <c r="B156" i="55"/>
  <c r="D215" i="55" s="1"/>
  <c r="D269" i="55"/>
  <c r="D55" i="81"/>
  <c r="C24" i="55"/>
  <c r="C81" i="55" s="1"/>
  <c r="B154" i="55"/>
  <c r="D213" i="55" s="1"/>
  <c r="D267" i="55"/>
  <c r="E238" i="55"/>
  <c r="C125" i="55"/>
  <c r="E183" i="55" s="1"/>
  <c r="E278" i="55"/>
  <c r="C168" i="55"/>
  <c r="E227" i="55" s="1"/>
  <c r="F226" i="53"/>
  <c r="F159" i="53"/>
  <c r="F203" i="53"/>
  <c r="F136" i="53"/>
  <c r="B130" i="55"/>
  <c r="D188" i="55" s="1"/>
  <c r="D243" i="55"/>
  <c r="D11" i="55"/>
  <c r="E42" i="81"/>
  <c r="E207" i="53"/>
  <c r="E140" i="53"/>
  <c r="D58" i="55"/>
  <c r="D115" i="55" s="1"/>
  <c r="E171" i="53"/>
  <c r="E238" i="53"/>
  <c r="D80" i="81"/>
  <c r="D118" i="53"/>
  <c r="D114" i="53"/>
  <c r="E253" i="53" s="1"/>
  <c r="F94" i="81"/>
  <c r="F11" i="53"/>
  <c r="F64" i="53" s="1"/>
  <c r="F55" i="53"/>
  <c r="F108" i="53" s="1"/>
  <c r="B157" i="55"/>
  <c r="D216" i="55" s="1"/>
  <c r="D270" i="55"/>
  <c r="E44" i="81"/>
  <c r="D13" i="55"/>
  <c r="D70" i="55" s="1"/>
  <c r="E43" i="53"/>
  <c r="E96" i="53" s="1"/>
  <c r="E213" i="53"/>
  <c r="E146" i="53"/>
  <c r="E167" i="53"/>
  <c r="E234" i="53"/>
  <c r="E74" i="81"/>
  <c r="D77" i="81"/>
  <c r="B140" i="55"/>
  <c r="D198" i="55" s="1"/>
  <c r="D253" i="55"/>
  <c r="F242" i="53"/>
  <c r="F178" i="53"/>
  <c r="F175" i="53"/>
  <c r="F239" i="53"/>
  <c r="B136" i="55"/>
  <c r="D194" i="55" s="1"/>
  <c r="D249" i="55"/>
  <c r="E143" i="53"/>
  <c r="E210" i="53"/>
  <c r="F34" i="53"/>
  <c r="F87" i="53" s="1"/>
  <c r="E44" i="53"/>
  <c r="E97" i="53" s="1"/>
  <c r="E104" i="81"/>
  <c r="E21" i="53"/>
  <c r="E74" i="53" s="1"/>
  <c r="F37" i="53"/>
  <c r="F90" i="53" s="1"/>
  <c r="F45" i="83"/>
  <c r="F36" i="53"/>
  <c r="F89" i="53" s="1"/>
  <c r="B153" i="55"/>
  <c r="D212" i="55" s="1"/>
  <c r="D266" i="55"/>
  <c r="E45" i="81"/>
  <c r="D14" i="55"/>
  <c r="D71" i="55" s="1"/>
  <c r="D59" i="81"/>
  <c r="C28" i="55"/>
  <c r="C85" i="55" s="1"/>
  <c r="E41" i="55"/>
  <c r="E98" i="55" s="1"/>
  <c r="D56" i="55"/>
  <c r="D113" i="55" s="1"/>
  <c r="D39" i="55"/>
  <c r="D96" i="55" s="1"/>
  <c r="E50" i="81"/>
  <c r="D19" i="55"/>
  <c r="D76" i="55" s="1"/>
  <c r="F95" i="81"/>
  <c r="F12" i="53"/>
  <c r="F65" i="53" s="1"/>
  <c r="H11" i="21"/>
  <c r="K35" i="61"/>
  <c r="K59" i="48"/>
  <c r="E46" i="81"/>
  <c r="D15" i="55"/>
  <c r="D72" i="55" s="1"/>
  <c r="E53" i="53"/>
  <c r="E106" i="53" s="1"/>
  <c r="F174" i="53" s="1"/>
  <c r="E73" i="81"/>
  <c r="C139" i="55"/>
  <c r="E197" i="55" s="1"/>
  <c r="E252" i="55"/>
  <c r="E216" i="53"/>
  <c r="E149" i="53"/>
  <c r="H35" i="29"/>
  <c r="E141" i="53"/>
  <c r="E208" i="53"/>
  <c r="B133" i="55"/>
  <c r="D191" i="55" s="1"/>
  <c r="D246" i="55"/>
  <c r="E47" i="81"/>
  <c r="D16" i="55"/>
  <c r="D73" i="55" s="1"/>
  <c r="D81" i="81"/>
  <c r="D59" i="55"/>
  <c r="D116" i="55" s="1"/>
  <c r="F38" i="53"/>
  <c r="F91" i="53" s="1"/>
  <c r="F98" i="81"/>
  <c r="F15" i="53"/>
  <c r="F68" i="53" s="1"/>
  <c r="E258" i="55"/>
  <c r="C145" i="55"/>
  <c r="E204" i="55" s="1"/>
  <c r="E51" i="53"/>
  <c r="E104" i="53" s="1"/>
  <c r="F172" i="53" s="1"/>
  <c r="E68" i="81"/>
  <c r="D92" i="55"/>
  <c r="C52" i="55"/>
  <c r="C109" i="55" s="1"/>
  <c r="D85" i="81"/>
  <c r="E71" i="81"/>
  <c r="E102" i="81"/>
  <c r="E19" i="53"/>
  <c r="E72" i="53" s="1"/>
  <c r="E277" i="55"/>
  <c r="C167" i="55"/>
  <c r="E226" i="55" s="1"/>
  <c r="E50" i="53"/>
  <c r="E103" i="53" s="1"/>
  <c r="D115" i="53"/>
  <c r="E70" i="81"/>
  <c r="D57" i="81"/>
  <c r="C26" i="55"/>
  <c r="C83" i="55" s="1"/>
  <c r="F264" i="55"/>
  <c r="D151" i="55"/>
  <c r="F210" i="55" s="1"/>
  <c r="E150" i="53"/>
  <c r="E217" i="53"/>
  <c r="D183" i="53"/>
  <c r="D246" i="53"/>
  <c r="E148" i="53"/>
  <c r="E215" i="53"/>
  <c r="E108" i="81"/>
  <c r="E25" i="53"/>
  <c r="E78" i="53" s="1"/>
  <c r="E46" i="53"/>
  <c r="E99" i="53" s="1"/>
  <c r="C50" i="55"/>
  <c r="C107" i="55" s="1"/>
  <c r="D51" i="81"/>
  <c r="C20" i="55"/>
  <c r="C77" i="55" s="1"/>
  <c r="E237" i="53"/>
  <c r="E170" i="53"/>
  <c r="F57" i="53"/>
  <c r="F110" i="53" s="1"/>
  <c r="F54" i="53"/>
  <c r="F107" i="53" s="1"/>
  <c r="E105" i="8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E61" i="81"/>
  <c r="D30" i="55"/>
  <c r="D87" i="55" s="1"/>
  <c r="E111" i="81"/>
  <c r="E28" i="53"/>
  <c r="E81" i="53" s="1"/>
  <c r="E10" i="23"/>
  <c r="G10" i="23" s="1"/>
  <c r="E103" i="81"/>
  <c r="E20" i="53"/>
  <c r="E73" i="53" s="1"/>
  <c r="G221" i="53"/>
  <c r="G154" i="53"/>
  <c r="F130" i="53"/>
  <c r="F197" i="53"/>
  <c r="D182" i="53"/>
  <c r="D245" i="53"/>
  <c r="F177" i="53"/>
  <c r="F241" i="53"/>
  <c r="F265" i="55"/>
  <c r="D152" i="55"/>
  <c r="F211" i="55" s="1"/>
  <c r="D53" i="81"/>
  <c r="C22" i="55"/>
  <c r="C79" i="55" s="1"/>
  <c r="C49" i="55"/>
  <c r="C106" i="55" s="1"/>
  <c r="J126" i="84" l="1"/>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E53" i="81"/>
  <c r="D22" i="55"/>
  <c r="D79" i="55" s="1"/>
  <c r="F208" i="53"/>
  <c r="F141" i="53"/>
  <c r="D139" i="55"/>
  <c r="F197" i="55" s="1"/>
  <c r="F252" i="55"/>
  <c r="N41" i="22"/>
  <c r="D51" i="55"/>
  <c r="D108" i="55" s="1"/>
  <c r="F143" i="53"/>
  <c r="F210" i="53"/>
  <c r="G175" i="53"/>
  <c r="G239" i="53"/>
  <c r="E51" i="81"/>
  <c r="D20" i="55"/>
  <c r="D77" i="55" s="1"/>
  <c r="F46" i="53"/>
  <c r="F99" i="53" s="1"/>
  <c r="F70" i="81"/>
  <c r="E85" i="81"/>
  <c r="F257" i="55"/>
  <c r="D144" i="55"/>
  <c r="F203" i="55" s="1"/>
  <c r="G159" i="53"/>
  <c r="G226" i="53"/>
  <c r="F46" i="81"/>
  <c r="E15" i="55"/>
  <c r="E72" i="55" s="1"/>
  <c r="G200" i="53"/>
  <c r="G133" i="53"/>
  <c r="F241" i="55"/>
  <c r="D128" i="55"/>
  <c r="F186" i="55" s="1"/>
  <c r="F275" i="55"/>
  <c r="D165" i="55"/>
  <c r="F224" i="55" s="1"/>
  <c r="E250" i="55"/>
  <c r="C137" i="55"/>
  <c r="E195" i="55" s="1"/>
  <c r="G225" i="53"/>
  <c r="G158" i="53"/>
  <c r="F165" i="53"/>
  <c r="F232" i="53"/>
  <c r="E77" i="81"/>
  <c r="F235" i="55"/>
  <c r="D122" i="55"/>
  <c r="F180" i="55" s="1"/>
  <c r="G199" i="53"/>
  <c r="G132" i="53"/>
  <c r="E80" i="81"/>
  <c r="F277" i="55"/>
  <c r="D167" i="55"/>
  <c r="F226" i="55" s="1"/>
  <c r="F42" i="81"/>
  <c r="E11" i="55"/>
  <c r="G201" i="53"/>
  <c r="G134" i="53"/>
  <c r="E249" i="55"/>
  <c r="C136" i="55"/>
  <c r="E194" i="55" s="1"/>
  <c r="E62" i="81"/>
  <c r="D31" i="55"/>
  <c r="D88" i="55" s="1"/>
  <c r="F107" i="81"/>
  <c r="F24" i="53"/>
  <c r="F77" i="53" s="1"/>
  <c r="F67" i="81"/>
  <c r="D48" i="55"/>
  <c r="D105" i="55" s="1"/>
  <c r="F262" i="55"/>
  <c r="D149" i="55"/>
  <c r="F208" i="55" s="1"/>
  <c r="F234" i="55"/>
  <c r="D121" i="55"/>
  <c r="F179" i="55" s="1"/>
  <c r="C33" i="55"/>
  <c r="F258" i="55"/>
  <c r="D145" i="55"/>
  <c r="F204" i="55" s="1"/>
  <c r="G265" i="55"/>
  <c r="E152" i="55"/>
  <c r="G211" i="55" s="1"/>
  <c r="D45" i="55"/>
  <c r="D102" i="55" s="1"/>
  <c r="H33" i="53"/>
  <c r="H86" i="53" s="1"/>
  <c r="I33" i="53"/>
  <c r="I86" i="53" s="1"/>
  <c r="E60" i="8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103" i="81"/>
  <c r="F20" i="53"/>
  <c r="F73" i="53" s="1"/>
  <c r="C11" i="23"/>
  <c r="F61" i="81"/>
  <c r="E30" i="55"/>
  <c r="E87" i="55" s="1"/>
  <c r="G44" i="22"/>
  <c r="E268" i="55"/>
  <c r="C155" i="55"/>
  <c r="E214" i="55" s="1"/>
  <c r="F105" i="81"/>
  <c r="F22" i="53"/>
  <c r="F75" i="53" s="1"/>
  <c r="G54" i="53"/>
  <c r="G107" i="53" s="1"/>
  <c r="E272" i="55"/>
  <c r="C159" i="55"/>
  <c r="E218" i="55" s="1"/>
  <c r="F213" i="53"/>
  <c r="F146" i="53"/>
  <c r="C135" i="55"/>
  <c r="E193" i="55" s="1"/>
  <c r="E248" i="55"/>
  <c r="E183" i="53"/>
  <c r="E246" i="53"/>
  <c r="F71" i="81"/>
  <c r="E274" i="55"/>
  <c r="C161" i="55"/>
  <c r="E220" i="55" s="1"/>
  <c r="F68" i="81"/>
  <c r="G38" i="53"/>
  <c r="G91" i="53" s="1"/>
  <c r="E81" i="81"/>
  <c r="G95" i="81"/>
  <c r="G12" i="53"/>
  <c r="G65" i="53" s="1"/>
  <c r="F50" i="81"/>
  <c r="E19" i="55"/>
  <c r="E76" i="55" s="1"/>
  <c r="E56" i="55"/>
  <c r="E113" i="55" s="1"/>
  <c r="E59" i="81"/>
  <c r="D28" i="55"/>
  <c r="D85" i="55" s="1"/>
  <c r="G37" i="53"/>
  <c r="G90" i="53" s="1"/>
  <c r="F44" i="53"/>
  <c r="F97" i="53" s="1"/>
  <c r="M36" i="22"/>
  <c r="M38" i="22" s="1"/>
  <c r="F44" i="81"/>
  <c r="E13" i="55"/>
  <c r="E70" i="55" s="1"/>
  <c r="G94" i="81"/>
  <c r="G11" i="53"/>
  <c r="G64" i="53" s="1"/>
  <c r="E58" i="55"/>
  <c r="E115" i="55" s="1"/>
  <c r="D68" i="55"/>
  <c r="B65" i="55"/>
  <c r="D200" i="55" s="1"/>
  <c r="B10" i="55"/>
  <c r="G96" i="81"/>
  <c r="G13" i="53"/>
  <c r="G66" i="53" s="1"/>
  <c r="I40" i="53"/>
  <c r="I93" i="53" s="1"/>
  <c r="H40" i="53"/>
  <c r="H93" i="53" s="1"/>
  <c r="E266" i="55"/>
  <c r="C153" i="55"/>
  <c r="E212" i="55" s="1"/>
  <c r="F52" i="53"/>
  <c r="F105" i="53" s="1"/>
  <c r="G173" i="53" s="1"/>
  <c r="F69" i="81"/>
  <c r="E58" i="81"/>
  <c r="D27" i="55"/>
  <c r="D84" i="55" s="1"/>
  <c r="F169" i="53"/>
  <c r="F236" i="53"/>
  <c r="G202" i="53"/>
  <c r="G135" i="53"/>
  <c r="E40" i="55"/>
  <c r="E97" i="55" s="1"/>
  <c r="F43"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01" i="81"/>
  <c r="F18" i="53"/>
  <c r="F71" i="53" s="1"/>
  <c r="F47" i="53"/>
  <c r="F100" i="53" s="1"/>
  <c r="G93" i="81"/>
  <c r="G10" i="53"/>
  <c r="G63" i="53" s="1"/>
  <c r="F106" i="81"/>
  <c r="F23" i="53"/>
  <c r="F76" i="53" s="1"/>
  <c r="H39" i="53"/>
  <c r="H92" i="53" s="1"/>
  <c r="I39" i="53"/>
  <c r="I92" i="53" s="1"/>
  <c r="L30" i="22"/>
  <c r="L32" i="22" s="1"/>
  <c r="L57" i="22"/>
  <c r="C61" i="55"/>
  <c r="F148" i="53"/>
  <c r="F215" i="53"/>
  <c r="F112" i="81"/>
  <c r="F29" i="53"/>
  <c r="F82" i="53" s="1"/>
  <c r="E188" i="53"/>
  <c r="E251" i="53"/>
  <c r="F35" i="55"/>
  <c r="D49" i="55"/>
  <c r="D106" i="55" s="1"/>
  <c r="E116" i="53"/>
  <c r="E115" i="53"/>
  <c r="F216" i="53"/>
  <c r="F149" i="53"/>
  <c r="D46" i="55"/>
  <c r="D103" i="55" s="1"/>
  <c r="G242" i="53"/>
  <c r="G178" i="53"/>
  <c r="D50" i="55"/>
  <c r="D107" i="55" s="1"/>
  <c r="F108" i="81"/>
  <c r="F25" i="53"/>
  <c r="F78" i="53" s="1"/>
  <c r="E57" i="8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97" i="81"/>
  <c r="G14" i="53"/>
  <c r="G67" i="53" s="1"/>
  <c r="F48" i="81"/>
  <c r="E17" i="55"/>
  <c r="E74" i="55" s="1"/>
  <c r="C130" i="55"/>
  <c r="E188" i="55" s="1"/>
  <c r="E243" i="55"/>
  <c r="G241" i="53"/>
  <c r="G177" i="53"/>
  <c r="E79" i="81"/>
  <c r="G9" i="53"/>
  <c r="G62" i="53" s="1"/>
  <c r="G92" i="81"/>
  <c r="D47" i="55"/>
  <c r="D104" i="55" s="1"/>
  <c r="E56" i="81"/>
  <c r="D25" i="55"/>
  <c r="D82" i="55" s="1"/>
  <c r="E83" i="81"/>
  <c r="E54" i="81"/>
  <c r="D23" i="55"/>
  <c r="D80" i="55" s="1"/>
  <c r="F26" i="83"/>
  <c r="E38" i="55"/>
  <c r="E95" i="55" s="1"/>
  <c r="F42" i="53"/>
  <c r="F95" i="53" s="1"/>
  <c r="G137" i="53"/>
  <c r="G204" i="53"/>
  <c r="F240" i="55"/>
  <c r="D127" i="55"/>
  <c r="F185" i="55" s="1"/>
  <c r="F276" i="55"/>
  <c r="D166" i="55"/>
  <c r="F225" i="55" s="1"/>
  <c r="H229" i="53"/>
  <c r="H162" i="53"/>
  <c r="E82" i="81"/>
  <c r="F237" i="53"/>
  <c r="F170" i="53"/>
  <c r="E78" i="81"/>
  <c r="F110" i="81"/>
  <c r="F27" i="53"/>
  <c r="F80" i="53" s="1"/>
  <c r="G264" i="55"/>
  <c r="E151" i="55"/>
  <c r="G210" i="55" s="1"/>
  <c r="E92" i="55"/>
  <c r="C131" i="55"/>
  <c r="E189" i="55" s="1"/>
  <c r="E244" i="55"/>
  <c r="E114" i="53"/>
  <c r="F111" i="81"/>
  <c r="F28" i="53"/>
  <c r="F81" i="53" s="1"/>
  <c r="E273" i="55"/>
  <c r="C160" i="55"/>
  <c r="E219" i="55" s="1"/>
  <c r="G57" i="53"/>
  <c r="G110" i="53" s="1"/>
  <c r="E242" i="55"/>
  <c r="C129" i="55"/>
  <c r="E187" i="55" s="1"/>
  <c r="F234" i="53"/>
  <c r="F167" i="53"/>
  <c r="F50" i="53"/>
  <c r="F103" i="53" s="1"/>
  <c r="F102" i="81"/>
  <c r="F19" i="53"/>
  <c r="F72" i="53" s="1"/>
  <c r="F51" i="53"/>
  <c r="F104" i="53" s="1"/>
  <c r="G172" i="53" s="1"/>
  <c r="G98" i="81"/>
  <c r="G15" i="53"/>
  <c r="G68" i="53" s="1"/>
  <c r="E59" i="55"/>
  <c r="E116" i="55" s="1"/>
  <c r="E16" i="55"/>
  <c r="E73" i="55" s="1"/>
  <c r="F47" i="81"/>
  <c r="F73" i="81"/>
  <c r="F237" i="55"/>
  <c r="D124" i="55"/>
  <c r="F182" i="55" s="1"/>
  <c r="I35" i="29"/>
  <c r="E39" i="55"/>
  <c r="E96" i="55" s="1"/>
  <c r="F41" i="55"/>
  <c r="F98" i="55" s="1"/>
  <c r="F45" i="81"/>
  <c r="E14" i="55"/>
  <c r="E71" i="55" s="1"/>
  <c r="G45" i="83"/>
  <c r="G36" i="53"/>
  <c r="G89" i="53" s="1"/>
  <c r="F104" i="81"/>
  <c r="F21" i="53"/>
  <c r="F74" i="53" s="1"/>
  <c r="G34" i="53"/>
  <c r="G87" i="53" s="1"/>
  <c r="F74" i="81"/>
  <c r="F43" i="53"/>
  <c r="F96" i="53" s="1"/>
  <c r="G55" i="53"/>
  <c r="G108" i="53" s="1"/>
  <c r="E250" i="53"/>
  <c r="E187" i="53"/>
  <c r="E55" i="81"/>
  <c r="D24" i="55"/>
  <c r="D81" i="55" s="1"/>
  <c r="M54" i="22"/>
  <c r="M55" i="22" s="1"/>
  <c r="E253" i="55"/>
  <c r="C140" i="55"/>
  <c r="E198" i="55" s="1"/>
  <c r="F212" i="53"/>
  <c r="F145" i="53"/>
  <c r="E270" i="55"/>
  <c r="C157" i="55"/>
  <c r="E216" i="55" s="1"/>
  <c r="F239" i="55"/>
  <c r="D126" i="55"/>
  <c r="F184" i="55" s="1"/>
  <c r="F75" i="81"/>
  <c r="E52" i="81"/>
  <c r="D21" i="55"/>
  <c r="D78" i="55" s="1"/>
  <c r="G56" i="53"/>
  <c r="G109" i="53" s="1"/>
  <c r="E267" i="55"/>
  <c r="C154" i="55"/>
  <c r="E213" i="55" s="1"/>
  <c r="H221" i="53"/>
  <c r="H154" i="53"/>
  <c r="E84" i="81"/>
  <c r="C138" i="55"/>
  <c r="E196" i="55" s="1"/>
  <c r="E251" i="55"/>
  <c r="F233" i="53"/>
  <c r="F166" i="53"/>
  <c r="F72" i="81"/>
  <c r="G99" i="81"/>
  <c r="G16" i="53"/>
  <c r="G69" i="53" s="1"/>
  <c r="E76" i="81"/>
  <c r="F49" i="8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G49" i="81"/>
  <c r="F18" i="55"/>
  <c r="F75" i="55" s="1"/>
  <c r="F52"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110" i="81"/>
  <c r="G27" i="53"/>
  <c r="G80" i="53" s="1"/>
  <c r="G42" i="53"/>
  <c r="G95" i="53" s="1"/>
  <c r="F54" i="81"/>
  <c r="E23" i="55"/>
  <c r="E80" i="55" s="1"/>
  <c r="F56" i="81"/>
  <c r="E25" i="55"/>
  <c r="E82" i="55" s="1"/>
  <c r="E47" i="55"/>
  <c r="E104" i="55" s="1"/>
  <c r="F79" i="81"/>
  <c r="H97" i="81"/>
  <c r="I14" i="53" s="1"/>
  <c r="I67" i="53" s="1"/>
  <c r="H14" i="53"/>
  <c r="H67" i="53" s="1"/>
  <c r="G48" i="53"/>
  <c r="G101" i="53" s="1"/>
  <c r="E52" i="55"/>
  <c r="E109" i="55" s="1"/>
  <c r="F57" i="81"/>
  <c r="E26" i="55"/>
  <c r="E83" i="55" s="1"/>
  <c r="E50" i="55"/>
  <c r="E107" i="55" s="1"/>
  <c r="F271" i="55"/>
  <c r="D158" i="55"/>
  <c r="F217" i="55" s="1"/>
  <c r="G106" i="8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107" i="81"/>
  <c r="G24" i="53"/>
  <c r="G77" i="53" s="1"/>
  <c r="F11" i="55"/>
  <c r="G42" i="81"/>
  <c r="F80" i="81"/>
  <c r="F15" i="55"/>
  <c r="F72" i="55" s="1"/>
  <c r="G46" i="81"/>
  <c r="F85" i="81"/>
  <c r="G167" i="53"/>
  <c r="G234" i="53"/>
  <c r="E51" i="55"/>
  <c r="E108" i="55" s="1"/>
  <c r="D131" i="55"/>
  <c r="F189" i="55" s="1"/>
  <c r="F244" i="55"/>
  <c r="E259" i="53"/>
  <c r="J229" i="53"/>
  <c r="J162" i="53"/>
  <c r="H99" i="81"/>
  <c r="I16" i="53" s="1"/>
  <c r="I69" i="53" s="1"/>
  <c r="H16" i="53"/>
  <c r="H69" i="53" s="1"/>
  <c r="E24" i="55"/>
  <c r="E81" i="55" s="1"/>
  <c r="F55" i="81"/>
  <c r="G43" i="53"/>
  <c r="G96" i="53" s="1"/>
  <c r="G104" i="81"/>
  <c r="G21" i="53"/>
  <c r="G74" i="53" s="1"/>
  <c r="G45" i="81"/>
  <c r="F14" i="55"/>
  <c r="F71" i="55" s="1"/>
  <c r="F39" i="55"/>
  <c r="F96" i="55" s="1"/>
  <c r="G47" i="81"/>
  <c r="F16" i="55"/>
  <c r="F73" i="55" s="1"/>
  <c r="H203" i="53"/>
  <c r="H136" i="53"/>
  <c r="G207" i="53"/>
  <c r="G140" i="53"/>
  <c r="G216" i="53"/>
  <c r="G149" i="53"/>
  <c r="F78" i="81"/>
  <c r="F82" i="81"/>
  <c r="G260" i="55"/>
  <c r="E147" i="55"/>
  <c r="G206" i="55" s="1"/>
  <c r="H92" i="81"/>
  <c r="I9" i="53" s="1"/>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F58" i="81"/>
  <c r="E27" i="55"/>
  <c r="E84" i="55" s="1"/>
  <c r="G52" i="53"/>
  <c r="G105" i="53" s="1"/>
  <c r="H173" i="53" s="1"/>
  <c r="J228" i="53"/>
  <c r="J161" i="53"/>
  <c r="D33" i="55"/>
  <c r="H199" i="53"/>
  <c r="H132" i="53"/>
  <c r="G235" i="55"/>
  <c r="E122" i="55"/>
  <c r="G180" i="55" s="1"/>
  <c r="M37" i="22"/>
  <c r="I37" i="53"/>
  <c r="I90" i="53" s="1"/>
  <c r="H37" i="53"/>
  <c r="H90" i="53" s="1"/>
  <c r="G275" i="55"/>
  <c r="E165" i="55"/>
  <c r="G224" i="55" s="1"/>
  <c r="H95" i="81"/>
  <c r="I12" i="53" s="1"/>
  <c r="I65" i="53" s="1"/>
  <c r="H12" i="53"/>
  <c r="H65" i="53" s="1"/>
  <c r="G68" i="81"/>
  <c r="H54" i="53"/>
  <c r="H107" i="53" s="1"/>
  <c r="I54" i="53"/>
  <c r="I107" i="53" s="1"/>
  <c r="G252" i="55"/>
  <c r="E139" i="55"/>
  <c r="G197" i="55" s="1"/>
  <c r="F251" i="53"/>
  <c r="F188" i="53"/>
  <c r="G233" i="53"/>
  <c r="G166" i="53"/>
  <c r="D229" i="55"/>
  <c r="I221" i="53"/>
  <c r="I154" i="53"/>
  <c r="F270" i="55"/>
  <c r="D157" i="55"/>
  <c r="F216" i="55" s="1"/>
  <c r="F253" i="55"/>
  <c r="D140" i="55"/>
  <c r="F198" i="55" s="1"/>
  <c r="F77" i="81"/>
  <c r="G46" i="53"/>
  <c r="G99" i="53" s="1"/>
  <c r="N42" i="22"/>
  <c r="F53" i="81"/>
  <c r="E22" i="55"/>
  <c r="E79" i="55" s="1"/>
  <c r="D274" i="53"/>
  <c r="D276" i="53" s="1"/>
  <c r="H264" i="55"/>
  <c r="F151" i="55"/>
  <c r="H210" i="55" s="1"/>
  <c r="G237" i="53"/>
  <c r="G170" i="53"/>
  <c r="G276" i="55"/>
  <c r="E166" i="55"/>
  <c r="G225" i="55" s="1"/>
  <c r="F76" i="81"/>
  <c r="F84" i="81"/>
  <c r="I55" i="53"/>
  <c r="I108" i="53" s="1"/>
  <c r="H55" i="53"/>
  <c r="H108" i="53" s="1"/>
  <c r="G74" i="81"/>
  <c r="I34" i="53"/>
  <c r="I87" i="53" s="1"/>
  <c r="H34" i="53"/>
  <c r="H87" i="53" s="1"/>
  <c r="H224" i="53"/>
  <c r="H157" i="53"/>
  <c r="H263" i="55"/>
  <c r="F150" i="55"/>
  <c r="H209" i="55" s="1"/>
  <c r="E125" i="55"/>
  <c r="G183" i="55" s="1"/>
  <c r="G238" i="55"/>
  <c r="H98" i="81"/>
  <c r="I15" i="53" s="1"/>
  <c r="I68" i="53" s="1"/>
  <c r="H15" i="53"/>
  <c r="H68" i="53" s="1"/>
  <c r="G102" i="81"/>
  <c r="G19" i="53"/>
  <c r="G72" i="53" s="1"/>
  <c r="H242" i="53"/>
  <c r="H178" i="53"/>
  <c r="G111" i="81"/>
  <c r="G28" i="53"/>
  <c r="G81" i="53" s="1"/>
  <c r="G257" i="55"/>
  <c r="E144" i="55"/>
  <c r="G203" i="55" s="1"/>
  <c r="G26" i="83"/>
  <c r="F38" i="55"/>
  <c r="F95" i="55" s="1"/>
  <c r="F83" i="81"/>
  <c r="H197" i="53"/>
  <c r="H130" i="53"/>
  <c r="G48" i="81"/>
  <c r="F17" i="55"/>
  <c r="F74" i="55" s="1"/>
  <c r="E44" i="55"/>
  <c r="G108" i="81"/>
  <c r="G25" i="53"/>
  <c r="G78" i="53" s="1"/>
  <c r="F268" i="55"/>
  <c r="D155" i="55"/>
  <c r="F214" i="55" s="1"/>
  <c r="F246" i="53"/>
  <c r="F183" i="53"/>
  <c r="F92" i="55"/>
  <c r="G150" i="53"/>
  <c r="G217" i="53"/>
  <c r="I227" i="53"/>
  <c r="I160" i="53"/>
  <c r="H93" i="81"/>
  <c r="I10" i="53" s="1"/>
  <c r="I63" i="53" s="1"/>
  <c r="H10" i="53"/>
  <c r="H63" i="53" s="1"/>
  <c r="G101" i="81"/>
  <c r="G18" i="53"/>
  <c r="G71" i="53" s="1"/>
  <c r="F119" i="53"/>
  <c r="F115" i="53"/>
  <c r="G258" i="55"/>
  <c r="E145" i="55"/>
  <c r="G204" i="55" s="1"/>
  <c r="E121" i="55"/>
  <c r="G179" i="55" s="1"/>
  <c r="G234" i="55"/>
  <c r="H201" i="53"/>
  <c r="H134" i="53"/>
  <c r="D120" i="55"/>
  <c r="F233" i="55"/>
  <c r="H94" i="81"/>
  <c r="I11" i="53" s="1"/>
  <c r="I64" i="53" s="1"/>
  <c r="H11" i="53"/>
  <c r="H64" i="53" s="1"/>
  <c r="G44" i="81"/>
  <c r="F13" i="55"/>
  <c r="F70" i="55" s="1"/>
  <c r="G232" i="53"/>
  <c r="G165" i="53"/>
  <c r="F250" i="55"/>
  <c r="D137" i="55"/>
  <c r="F195" i="55" s="1"/>
  <c r="E128" i="55"/>
  <c r="G186" i="55" s="1"/>
  <c r="G241" i="55"/>
  <c r="F81" i="81"/>
  <c r="G71" i="81"/>
  <c r="G210" i="53"/>
  <c r="G143" i="53"/>
  <c r="G61" i="81"/>
  <c r="F30" i="55"/>
  <c r="F87" i="55" s="1"/>
  <c r="G141" i="53"/>
  <c r="G208" i="53"/>
  <c r="G45" i="53"/>
  <c r="G98" i="53" s="1"/>
  <c r="D138" i="55"/>
  <c r="F196" i="55" s="1"/>
  <c r="F251" i="55"/>
  <c r="F267" i="55"/>
  <c r="D154" i="55"/>
  <c r="F213" i="55" s="1"/>
  <c r="E48" i="55"/>
  <c r="E105" i="55" s="1"/>
  <c r="F62" i="81"/>
  <c r="E31" i="55"/>
  <c r="E88" i="55" s="1"/>
  <c r="G70" i="81"/>
  <c r="F242" i="55"/>
  <c r="D129" i="55"/>
  <c r="F187" i="55" s="1"/>
  <c r="C36" i="29"/>
  <c r="H42" i="55"/>
  <c r="H99" i="55" s="1"/>
  <c r="G42" i="55"/>
  <c r="G99" i="55" s="1"/>
  <c r="G49" i="53"/>
  <c r="G102" i="53" s="1"/>
  <c r="F57" i="55"/>
  <c r="F114" i="55" s="1"/>
  <c r="G72" i="81"/>
  <c r="H241" i="53"/>
  <c r="H177" i="53"/>
  <c r="G75" i="81"/>
  <c r="N54" i="22"/>
  <c r="N55" i="22" s="1"/>
  <c r="H240" i="53"/>
  <c r="H176" i="53"/>
  <c r="H222" i="53"/>
  <c r="H155" i="53"/>
  <c r="H45" i="83"/>
  <c r="I36" i="53" s="1"/>
  <c r="I89" i="53" s="1"/>
  <c r="H36" i="53"/>
  <c r="H89" i="53" s="1"/>
  <c r="H41" i="55"/>
  <c r="H98" i="55" s="1"/>
  <c r="G41" i="55"/>
  <c r="G98" i="55" s="1"/>
  <c r="G73" i="8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112" i="81"/>
  <c r="G29" i="53"/>
  <c r="G82" i="53" s="1"/>
  <c r="L31" i="22"/>
  <c r="L58" i="22"/>
  <c r="C89" i="22" s="1"/>
  <c r="G211" i="53"/>
  <c r="G144" i="53"/>
  <c r="G168" i="53"/>
  <c r="G235" i="53"/>
  <c r="F116" i="53"/>
  <c r="F36" i="55"/>
  <c r="F93" i="55" s="1"/>
  <c r="G43" i="81"/>
  <c r="F12" i="55"/>
  <c r="F69" i="55" s="1"/>
  <c r="G69" i="81"/>
  <c r="H96" i="81"/>
  <c r="I13" i="53" s="1"/>
  <c r="I66" i="53" s="1"/>
  <c r="H13" i="53"/>
  <c r="H66" i="53" s="1"/>
  <c r="G277" i="55"/>
  <c r="E167" i="55"/>
  <c r="G226" i="55" s="1"/>
  <c r="G44" i="53"/>
  <c r="G97" i="53" s="1"/>
  <c r="F59" i="81"/>
  <c r="E28" i="55"/>
  <c r="E85" i="55" s="1"/>
  <c r="G50" i="81"/>
  <c r="F19" i="55"/>
  <c r="F76" i="55" s="1"/>
  <c r="I38" i="53"/>
  <c r="I91" i="53" s="1"/>
  <c r="H38" i="53"/>
  <c r="H91" i="53" s="1"/>
  <c r="G105" i="81"/>
  <c r="G22" i="53"/>
  <c r="G75" i="53" s="1"/>
  <c r="D11" i="23"/>
  <c r="F11" i="23" s="1"/>
  <c r="G103" i="81"/>
  <c r="G20" i="53"/>
  <c r="G73" i="53" s="1"/>
  <c r="F60" i="81"/>
  <c r="E29" i="55"/>
  <c r="E86" i="55" s="1"/>
  <c r="E45" i="55"/>
  <c r="E102" i="55" s="1"/>
  <c r="G67" i="81"/>
  <c r="G145" i="53"/>
  <c r="G212" i="53"/>
  <c r="E68" i="55"/>
  <c r="E124" i="55"/>
  <c r="G182" i="55" s="1"/>
  <c r="G237" i="55"/>
  <c r="E20" i="55"/>
  <c r="E77" i="55" s="1"/>
  <c r="F51" i="8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H111" i="81"/>
  <c r="I28" i="53" s="1"/>
  <c r="I81" i="53" s="1"/>
  <c r="H28" i="53"/>
  <c r="H81" i="53" s="1"/>
  <c r="G53" i="81"/>
  <c r="F22" i="55"/>
  <c r="F79" i="55" s="1"/>
  <c r="H40" i="55"/>
  <c r="H97" i="55" s="1"/>
  <c r="G40" i="55"/>
  <c r="G97" i="55" s="1"/>
  <c r="G271" i="55"/>
  <c r="E158" i="55"/>
  <c r="G217" i="55" s="1"/>
  <c r="E129" i="55"/>
  <c r="G187" i="55" s="1"/>
  <c r="G242" i="55"/>
  <c r="G60" i="81"/>
  <c r="F29" i="55"/>
  <c r="F86" i="55" s="1"/>
  <c r="I263" i="55"/>
  <c r="G150" i="55"/>
  <c r="I209" i="55" s="1"/>
  <c r="H260" i="55"/>
  <c r="F147" i="55"/>
  <c r="H206" i="55" s="1"/>
  <c r="H102" i="81"/>
  <c r="I19" i="53" s="1"/>
  <c r="I72" i="53" s="1"/>
  <c r="H19" i="53"/>
  <c r="H72" i="53" s="1"/>
  <c r="G84" i="81"/>
  <c r="E136" i="55"/>
  <c r="G194" i="55" s="1"/>
  <c r="G249" i="55"/>
  <c r="E133" i="55"/>
  <c r="G191" i="55" s="1"/>
  <c r="G246" i="55"/>
  <c r="G57"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69" i="81"/>
  <c r="H36" i="55"/>
  <c r="H93" i="55" s="1"/>
  <c r="G36" i="55"/>
  <c r="G93" i="55" s="1"/>
  <c r="L59" i="22"/>
  <c r="G92" i="55"/>
  <c r="F46" i="55"/>
  <c r="F103" i="55" s="1"/>
  <c r="H73" i="81"/>
  <c r="J263" i="55"/>
  <c r="H150" i="55"/>
  <c r="H72" i="81"/>
  <c r="I49" i="53"/>
  <c r="I102" i="53" s="1"/>
  <c r="H49" i="53"/>
  <c r="H102" i="53" s="1"/>
  <c r="F31" i="55"/>
  <c r="F88" i="55" s="1"/>
  <c r="G62" i="81"/>
  <c r="F48" i="55"/>
  <c r="F105" i="55" s="1"/>
  <c r="H235" i="55"/>
  <c r="F122" i="55"/>
  <c r="H180" i="55" s="1"/>
  <c r="H101" i="81"/>
  <c r="I18" i="53" s="1"/>
  <c r="I71" i="53" s="1"/>
  <c r="H18" i="53"/>
  <c r="H71" i="53" s="1"/>
  <c r="E101" i="55"/>
  <c r="E61" i="55"/>
  <c r="H26" i="83"/>
  <c r="H38" i="55" s="1"/>
  <c r="H95" i="55" s="1"/>
  <c r="G38" i="55"/>
  <c r="G95" i="55" s="1"/>
  <c r="I203" i="53"/>
  <c r="I136" i="53"/>
  <c r="I222" i="53"/>
  <c r="I155" i="53"/>
  <c r="I240" i="53"/>
  <c r="I176" i="53"/>
  <c r="G76" i="81"/>
  <c r="N43" i="22"/>
  <c r="H68" i="81"/>
  <c r="F27" i="55"/>
  <c r="F84" i="55" s="1"/>
  <c r="G58" i="81"/>
  <c r="F49" i="55"/>
  <c r="F106" i="55" s="1"/>
  <c r="F266" i="55"/>
  <c r="D153" i="55"/>
  <c r="F212" i="55" s="1"/>
  <c r="H261" i="55"/>
  <c r="F148" i="55"/>
  <c r="H207" i="55" s="1"/>
  <c r="H209" i="53"/>
  <c r="H142" i="53"/>
  <c r="H231" i="53"/>
  <c r="H164" i="53"/>
  <c r="J204" i="53"/>
  <c r="J137" i="53"/>
  <c r="F51" i="55"/>
  <c r="F108" i="55" s="1"/>
  <c r="G85" i="81"/>
  <c r="G80" i="81"/>
  <c r="H107" i="81"/>
  <c r="I24" i="53" s="1"/>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G78" i="81"/>
  <c r="H47" i="81"/>
  <c r="H16" i="55" s="1"/>
  <c r="H73" i="55" s="1"/>
  <c r="G16" i="55"/>
  <c r="G73" i="55" s="1"/>
  <c r="H212" i="53"/>
  <c r="H145" i="53"/>
  <c r="H56" i="55"/>
  <c r="H113" i="55" s="1"/>
  <c r="G56" i="55"/>
  <c r="G113" i="55" s="1"/>
  <c r="H47" i="53"/>
  <c r="H100" i="53" s="1"/>
  <c r="I47" i="53"/>
  <c r="I100" i="53" s="1"/>
  <c r="H236" i="53"/>
  <c r="H169" i="53"/>
  <c r="G56" i="81"/>
  <c r="F25" i="55"/>
  <c r="F82" i="55" s="1"/>
  <c r="H51" i="53"/>
  <c r="H104" i="53" s="1"/>
  <c r="I172" i="53" s="1"/>
  <c r="I51" i="53"/>
  <c r="I104" i="53" s="1"/>
  <c r="H49"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70" i="81"/>
  <c r="H233" i="53"/>
  <c r="H166" i="53"/>
  <c r="H252" i="55"/>
  <c r="F139" i="55"/>
  <c r="H197" i="55" s="1"/>
  <c r="H44" i="81"/>
  <c r="H13" i="55" s="1"/>
  <c r="H70" i="55" s="1"/>
  <c r="G13" i="55"/>
  <c r="G70" i="55" s="1"/>
  <c r="F284" i="55"/>
  <c r="F285" i="55"/>
  <c r="F178" i="55"/>
  <c r="G246" i="53"/>
  <c r="G183" i="53"/>
  <c r="I198" i="53"/>
  <c r="I131" i="53"/>
  <c r="F44" i="55"/>
  <c r="F101" i="55" s="1"/>
  <c r="G119" i="53"/>
  <c r="G118" i="53"/>
  <c r="G83" i="81"/>
  <c r="J203" i="53"/>
  <c r="J136" i="53"/>
  <c r="J222" i="53"/>
  <c r="J155" i="53"/>
  <c r="J240" i="53"/>
  <c r="J176" i="53"/>
  <c r="H234" i="53"/>
  <c r="H167" i="53"/>
  <c r="J239" i="53"/>
  <c r="J175" i="53"/>
  <c r="I200" i="53"/>
  <c r="I133" i="53"/>
  <c r="I225" i="53"/>
  <c r="I158" i="53"/>
  <c r="J265" i="55"/>
  <c r="H152" i="55"/>
  <c r="I197" i="53"/>
  <c r="I130" i="53"/>
  <c r="G82" i="81"/>
  <c r="H39" i="55"/>
  <c r="H96" i="55" s="1"/>
  <c r="G39" i="55"/>
  <c r="G96" i="55" s="1"/>
  <c r="H104" i="81"/>
  <c r="I21" i="53" s="1"/>
  <c r="I74" i="53" s="1"/>
  <c r="H21" i="53"/>
  <c r="H74" i="53" s="1"/>
  <c r="H43" i="53"/>
  <c r="H96" i="53" s="1"/>
  <c r="I43" i="53"/>
  <c r="I96" i="53" s="1"/>
  <c r="H46" i="81"/>
  <c r="H15" i="55" s="1"/>
  <c r="H72" i="55" s="1"/>
  <c r="G15" i="55"/>
  <c r="G72" i="55" s="1"/>
  <c r="H42" i="81"/>
  <c r="H11" i="55" s="1"/>
  <c r="G11" i="55"/>
  <c r="H277" i="55"/>
  <c r="F167" i="55"/>
  <c r="H226" i="55" s="1"/>
  <c r="E229" i="55"/>
  <c r="G182" i="53"/>
  <c r="G245" i="53"/>
  <c r="H106" i="81"/>
  <c r="I23" i="53" s="1"/>
  <c r="I76" i="53" s="1"/>
  <c r="H23" i="53"/>
  <c r="H76" i="53" s="1"/>
  <c r="F50" i="55"/>
  <c r="F107" i="55" s="1"/>
  <c r="F52" i="55"/>
  <c r="F109" i="55" s="1"/>
  <c r="J202" i="53"/>
  <c r="J135" i="53"/>
  <c r="F47" i="55"/>
  <c r="F104" i="55" s="1"/>
  <c r="G54" i="81"/>
  <c r="F23" i="55"/>
  <c r="F80" i="55" s="1"/>
  <c r="H110" i="81"/>
  <c r="I27" i="53" s="1"/>
  <c r="I80" i="53" s="1"/>
  <c r="H27" i="53"/>
  <c r="H80" i="53" s="1"/>
  <c r="I50" i="53"/>
  <c r="I103" i="53" s="1"/>
  <c r="H50" i="53"/>
  <c r="H103" i="53" s="1"/>
  <c r="H59" i="55"/>
  <c r="H116" i="55" s="1"/>
  <c r="G59" i="55"/>
  <c r="G116" i="55" s="1"/>
  <c r="G52" i="81"/>
  <c r="F21" i="55"/>
  <c r="F78" i="55" s="1"/>
  <c r="N36" i="22"/>
  <c r="G253" i="53"/>
  <c r="F259" i="53"/>
  <c r="E33" i="55"/>
  <c r="G59" i="81"/>
  <c r="F28" i="55"/>
  <c r="F85" i="55" s="1"/>
  <c r="G81" i="81"/>
  <c r="H108" i="81"/>
  <c r="I25" i="53" s="1"/>
  <c r="I78" i="53" s="1"/>
  <c r="H25" i="53"/>
  <c r="H78" i="53" s="1"/>
  <c r="H48" i="81"/>
  <c r="H17" i="55" s="1"/>
  <c r="H74" i="55" s="1"/>
  <c r="G17" i="55"/>
  <c r="G74" i="55" s="1"/>
  <c r="H45" i="81"/>
  <c r="H14" i="55" s="1"/>
  <c r="H71" i="55" s="1"/>
  <c r="G14" i="55"/>
  <c r="G71" i="55" s="1"/>
  <c r="I204" i="53"/>
  <c r="I137" i="53"/>
  <c r="G273" i="55"/>
  <c r="E160" i="55"/>
  <c r="G219" i="55" s="1"/>
  <c r="E37" i="61"/>
  <c r="B9" i="21"/>
  <c r="H103" i="81"/>
  <c r="I20" i="53" s="1"/>
  <c r="I73" i="53" s="1"/>
  <c r="H20" i="53"/>
  <c r="H73" i="53" s="1"/>
  <c r="H105" i="81"/>
  <c r="I22" i="53" s="1"/>
  <c r="I75" i="53" s="1"/>
  <c r="H22" i="53"/>
  <c r="H75" i="53" s="1"/>
  <c r="H50" i="81"/>
  <c r="H19" i="55" s="1"/>
  <c r="H76" i="55" s="1"/>
  <c r="G19" i="55"/>
  <c r="G76" i="55" s="1"/>
  <c r="G51" i="81"/>
  <c r="F20" i="55"/>
  <c r="F77" i="55" s="1"/>
  <c r="E120" i="55"/>
  <c r="G233" i="55"/>
  <c r="H67" i="81"/>
  <c r="G251" i="55"/>
  <c r="E138" i="55"/>
  <c r="G196" i="55" s="1"/>
  <c r="E11" i="23"/>
  <c r="G11" i="23" s="1"/>
  <c r="E137" i="55"/>
  <c r="G195" i="55" s="1"/>
  <c r="G250" i="55"/>
  <c r="J201" i="53"/>
  <c r="J134" i="53"/>
  <c r="H43" i="81"/>
  <c r="H12" i="55" s="1"/>
  <c r="H69" i="55" s="1"/>
  <c r="G12" i="55"/>
  <c r="G69" i="55" s="1"/>
  <c r="G184" i="53"/>
  <c r="G247" i="53"/>
  <c r="H112" i="81"/>
  <c r="I29" i="53" s="1"/>
  <c r="I82" i="53" s="1"/>
  <c r="H29" i="53"/>
  <c r="H82" i="53" s="1"/>
  <c r="H53" i="53"/>
  <c r="H106" i="53" s="1"/>
  <c r="I174" i="53" s="1"/>
  <c r="I53" i="53"/>
  <c r="I106" i="53" s="1"/>
  <c r="J242" i="53"/>
  <c r="J178" i="53"/>
  <c r="J224" i="53"/>
  <c r="J157" i="53"/>
  <c r="N56" i="22"/>
  <c r="O53" i="22" s="1"/>
  <c r="H75" i="81"/>
  <c r="H57" i="55"/>
  <c r="H114" i="55" s="1"/>
  <c r="G57" i="55"/>
  <c r="G114" i="55" s="1"/>
  <c r="J264" i="55"/>
  <c r="H151" i="55"/>
  <c r="I45" i="53"/>
  <c r="I98" i="53" s="1"/>
  <c r="H45" i="53"/>
  <c r="H98" i="53" s="1"/>
  <c r="H61" i="81"/>
  <c r="H30" i="55" s="1"/>
  <c r="H87" i="55" s="1"/>
  <c r="G30" i="55"/>
  <c r="G87" i="55" s="1"/>
  <c r="H71" i="81"/>
  <c r="I199" i="53"/>
  <c r="I132" i="53"/>
  <c r="G188" i="53"/>
  <c r="G251" i="53"/>
  <c r="J198" i="53"/>
  <c r="J131" i="53"/>
  <c r="H213" i="53"/>
  <c r="H146" i="53"/>
  <c r="H239" i="55"/>
  <c r="F126" i="55"/>
  <c r="H184" i="55" s="1"/>
  <c r="G116" i="53"/>
  <c r="G115" i="53"/>
  <c r="H216" i="53"/>
  <c r="H149" i="53"/>
  <c r="H207" i="53"/>
  <c r="H140" i="53"/>
  <c r="H74" i="81"/>
  <c r="G244" i="55"/>
  <c r="E131" i="55"/>
  <c r="G189" i="55" s="1"/>
  <c r="N44" i="22"/>
  <c r="I46" i="53"/>
  <c r="I99" i="53" s="1"/>
  <c r="H46" i="53"/>
  <c r="H99" i="53" s="1"/>
  <c r="G77" i="8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55" i="8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79" i="8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H76" i="81"/>
  <c r="J206" i="53"/>
  <c r="J139" i="53"/>
  <c r="H46" i="55"/>
  <c r="H103" i="55" s="1"/>
  <c r="G46" i="55"/>
  <c r="G103" i="55" s="1"/>
  <c r="J230" i="53"/>
  <c r="J163" i="53"/>
  <c r="I262" i="55"/>
  <c r="G149" i="55"/>
  <c r="I208" i="55" s="1"/>
  <c r="J216" i="53"/>
  <c r="J149" i="53"/>
  <c r="H79" i="81"/>
  <c r="F133" i="55"/>
  <c r="H191" i="55" s="1"/>
  <c r="H246" i="55"/>
  <c r="I115" i="53"/>
  <c r="F282" i="55"/>
  <c r="F283" i="55"/>
  <c r="H77" i="81"/>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82" i="81"/>
  <c r="H114" i="53"/>
  <c r="H254" i="53"/>
  <c r="H83" i="81"/>
  <c r="H266" i="55"/>
  <c r="F153" i="55"/>
  <c r="I235" i="55"/>
  <c r="G122" i="55"/>
  <c r="I180" i="55" s="1"/>
  <c r="G125" i="55"/>
  <c r="I183" i="55" s="1"/>
  <c r="I238" i="55"/>
  <c r="H245" i="53"/>
  <c r="H182" i="53"/>
  <c r="D290" i="55"/>
  <c r="D292" i="55" s="1"/>
  <c r="J212" i="53"/>
  <c r="J145" i="53"/>
  <c r="H85" i="81"/>
  <c r="H49" i="55"/>
  <c r="H106" i="55" s="1"/>
  <c r="G49" i="55"/>
  <c r="G106" i="55" s="1"/>
  <c r="H48" i="55"/>
  <c r="H105" i="55" s="1"/>
  <c r="G48" i="55"/>
  <c r="G105" i="55" s="1"/>
  <c r="I237" i="53"/>
  <c r="I170" i="53"/>
  <c r="I258" i="55"/>
  <c r="G145" i="55"/>
  <c r="I204" i="55" s="1"/>
  <c r="H248" i="55"/>
  <c r="F135" i="55"/>
  <c r="H193" i="55" s="1"/>
  <c r="H253" i="53"/>
  <c r="H84" i="81"/>
  <c r="J262" i="55"/>
  <c r="H149" i="55"/>
  <c r="H244" i="55"/>
  <c r="F131" i="55"/>
  <c r="H189" i="55" s="1"/>
  <c r="G259" i="53"/>
  <c r="J236" i="53"/>
  <c r="J169" i="53"/>
  <c r="I114" i="53"/>
  <c r="J234" i="53"/>
  <c r="J167" i="53"/>
  <c r="O54" i="22"/>
  <c r="O55" i="22" s="1"/>
  <c r="H123" i="55"/>
  <c r="J236" i="55"/>
  <c r="H54" i="81"/>
  <c r="H23" i="55" s="1"/>
  <c r="H80" i="55" s="1"/>
  <c r="G23" i="55"/>
  <c r="G80" i="55" s="1"/>
  <c r="I261" i="55"/>
  <c r="G148" i="55"/>
  <c r="I207" i="55" s="1"/>
  <c r="H56" i="81"/>
  <c r="H25" i="55" s="1"/>
  <c r="H82" i="55" s="1"/>
  <c r="G25" i="55"/>
  <c r="G82" i="55" s="1"/>
  <c r="N37" i="22"/>
  <c r="I212" i="53"/>
  <c r="I145" i="53"/>
  <c r="H271" i="55"/>
  <c r="F158" i="55"/>
  <c r="H217" i="55" s="1"/>
  <c r="J260" i="55"/>
  <c r="H147" i="55"/>
  <c r="F120" i="55"/>
  <c r="H233" i="55"/>
  <c r="I277" i="55"/>
  <c r="G167" i="55"/>
  <c r="I226" i="55" s="1"/>
  <c r="I41" i="22"/>
  <c r="F33" i="55"/>
  <c r="H55" i="81"/>
  <c r="H24" i="55" s="1"/>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81" i="81"/>
  <c r="H59" i="81"/>
  <c r="H28" i="55" s="1"/>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58" i="81"/>
  <c r="H27" i="55" s="1"/>
  <c r="H84" i="55" s="1"/>
  <c r="G27" i="55"/>
  <c r="G84" i="55" s="1"/>
  <c r="G266" i="55"/>
  <c r="E153" i="55"/>
  <c r="G212" i="55" s="1"/>
  <c r="H62" i="81"/>
  <c r="H31" i="55" s="1"/>
  <c r="H88" i="55" s="1"/>
  <c r="G31" i="55"/>
  <c r="G88" i="55" s="1"/>
  <c r="J237" i="53"/>
  <c r="J170" i="53"/>
  <c r="I257" i="55"/>
  <c r="G144" i="55"/>
  <c r="I203" i="55" s="1"/>
  <c r="J258" i="55"/>
  <c r="H145" i="55"/>
  <c r="H57" i="81"/>
  <c r="H26" i="55" s="1"/>
  <c r="H83" i="55" s="1"/>
  <c r="G26" i="55"/>
  <c r="G83" i="55" s="1"/>
  <c r="I207" i="53"/>
  <c r="I140" i="53"/>
  <c r="H251" i="55"/>
  <c r="F138" i="55"/>
  <c r="H196" i="55" s="1"/>
  <c r="G22" i="55"/>
  <c r="G79" i="55" s="1"/>
  <c r="H53" i="81"/>
  <c r="H22" i="55" s="1"/>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78" i="81"/>
  <c r="H270" i="55"/>
  <c r="F157" i="55"/>
  <c r="H216" i="55" s="1"/>
  <c r="J232" i="53"/>
  <c r="J165" i="53"/>
  <c r="I236" i="53"/>
  <c r="I169" i="53"/>
  <c r="J277" i="55"/>
  <c r="H167" i="55"/>
  <c r="I116" i="53"/>
  <c r="J173" i="53"/>
  <c r="C32" i="29"/>
  <c r="I234" i="53"/>
  <c r="I167" i="53"/>
  <c r="I233" i="53"/>
  <c r="I166" i="53"/>
  <c r="J174" i="53"/>
  <c r="H51" i="81"/>
  <c r="H20" i="55" s="1"/>
  <c r="H77" i="55" s="1"/>
  <c r="G20" i="55"/>
  <c r="G77" i="55" s="1"/>
  <c r="J210" i="53"/>
  <c r="J143" i="53"/>
  <c r="I236" i="55"/>
  <c r="G123" i="55"/>
  <c r="I181" i="55" s="1"/>
  <c r="I213" i="53"/>
  <c r="I146" i="53"/>
  <c r="E10" i="55"/>
  <c r="E65" i="55"/>
  <c r="G200" i="55" s="1"/>
  <c r="H52" i="81"/>
  <c r="H21" i="55" s="1"/>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H80" i="81"/>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60" i="81"/>
  <c r="H29" i="55" s="1"/>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191" i="55" s="1"/>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94" i="55" s="1"/>
  <c r="J183" i="55"/>
  <c r="J274" i="55"/>
  <c r="H161" i="55"/>
  <c r="J179" i="55"/>
  <c r="J251" i="53"/>
  <c r="J188" i="53"/>
  <c r="I44" i="22"/>
  <c r="J206" i="55"/>
  <c r="H134" i="55"/>
  <c r="J192" i="55" s="1"/>
  <c r="J247" i="55"/>
  <c r="H132" i="55"/>
  <c r="J245" i="55"/>
  <c r="J181" i="55"/>
  <c r="J254" i="53"/>
  <c r="J186" i="55"/>
  <c r="J225" i="55"/>
  <c r="O42" i="22"/>
  <c r="O44" i="22" s="1"/>
  <c r="I254" i="53"/>
  <c r="I247" i="53"/>
  <c r="I184" i="53"/>
  <c r="E168" i="29" l="1"/>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35" i="83" l="1"/>
  <c r="D35" i="83" s="1"/>
  <c r="C37" i="83"/>
  <c r="D37" i="83" s="1"/>
  <c r="E37" i="83" s="1"/>
  <c r="F37" i="83" s="1"/>
  <c r="G37" i="83" s="1"/>
  <c r="H37" i="83" s="1"/>
  <c r="C36" i="83"/>
  <c r="D36" i="83" s="1"/>
  <c r="E36" i="83" s="1"/>
  <c r="F36" i="83" s="1"/>
  <c r="G36" i="83" s="1"/>
  <c r="H36" i="83" s="1"/>
  <c r="E35" i="83" l="1"/>
  <c r="F35" i="83" s="1"/>
  <c r="G35" i="83" s="1"/>
  <c r="H35" i="83" s="1"/>
  <c r="D39" i="83"/>
  <c r="C39" i="83"/>
  <c r="E39" i="83" l="1"/>
  <c r="F39" i="83" l="1"/>
  <c r="H39" i="83" l="1"/>
  <c r="G39" i="83"/>
  <c r="C9" i="61" l="1"/>
  <c r="B15" i="21"/>
  <c r="D15" i="21"/>
  <c r="F15" i="21"/>
  <c r="G15" i="21"/>
  <c r="E15" i="21"/>
  <c r="H15" i="21"/>
  <c r="C15" i="21"/>
  <c r="E32" i="84"/>
  <c r="E293" i="84" s="1"/>
  <c r="F32" i="84"/>
  <c r="F293" i="84" s="1"/>
  <c r="C32" i="84"/>
  <c r="C68" i="84" s="1"/>
  <c r="D32" i="84"/>
  <c r="D293" i="84" s="1"/>
  <c r="G32" i="84"/>
  <c r="G293" i="84" s="1"/>
  <c r="H32" i="84"/>
  <c r="H293" i="84" s="1"/>
  <c r="B32" i="84"/>
  <c r="C293" i="84" l="1"/>
  <c r="C294" i="84" s="1"/>
  <c r="J14" i="83"/>
  <c r="B37" i="84"/>
  <c r="D100" i="84" s="1"/>
  <c r="B42" i="84"/>
  <c r="C191" i="84" s="1"/>
  <c r="B43" i="84"/>
  <c r="C197" i="84" s="1"/>
  <c r="B41" i="84"/>
  <c r="C185" i="84" s="1"/>
  <c r="B68" i="84"/>
  <c r="B293" i="84"/>
  <c r="B40" i="84"/>
  <c r="I23" i="84" s="1"/>
  <c r="H43" i="84"/>
  <c r="I197" i="84" s="1"/>
  <c r="H37" i="84"/>
  <c r="J100" i="84" s="1"/>
  <c r="H41" i="84"/>
  <c r="I185" i="84" s="1"/>
  <c r="H40" i="84"/>
  <c r="H42" i="84"/>
  <c r="I191" i="84" s="1"/>
  <c r="G42" i="84"/>
  <c r="H191" i="84" s="1"/>
  <c r="G41" i="84"/>
  <c r="H185" i="84" s="1"/>
  <c r="G37" i="84"/>
  <c r="I100" i="84" s="1"/>
  <c r="G43" i="84"/>
  <c r="H197" i="84" s="1"/>
  <c r="G40" i="84"/>
  <c r="N23" i="84" s="1"/>
  <c r="G68" i="84"/>
  <c r="G294" i="84" s="1"/>
  <c r="H68" i="84"/>
  <c r="D37" i="84"/>
  <c r="F100" i="84" s="1"/>
  <c r="D41" i="84"/>
  <c r="E185" i="84" s="1"/>
  <c r="D42" i="84"/>
  <c r="E191" i="84" s="1"/>
  <c r="D43" i="84"/>
  <c r="E197" i="84" s="1"/>
  <c r="D40" i="84"/>
  <c r="K23" i="84" s="1"/>
  <c r="D68" i="84"/>
  <c r="D294" i="84" s="1"/>
  <c r="C42" i="84"/>
  <c r="D191" i="84" s="1"/>
  <c r="C43" i="84"/>
  <c r="D197" i="84" s="1"/>
  <c r="C37" i="84"/>
  <c r="E100" i="84" s="1"/>
  <c r="C41" i="84"/>
  <c r="D185" i="84" s="1"/>
  <c r="C40" i="84"/>
  <c r="J23" i="84" s="1"/>
  <c r="F43" i="84"/>
  <c r="G197" i="84" s="1"/>
  <c r="F37" i="84"/>
  <c r="H100" i="84" s="1"/>
  <c r="F41" i="84"/>
  <c r="G185" i="84" s="1"/>
  <c r="F40" i="84"/>
  <c r="M23" i="84" s="1"/>
  <c r="F42" i="84"/>
  <c r="G191" i="84" s="1"/>
  <c r="F68" i="84"/>
  <c r="E42" i="84"/>
  <c r="F191" i="84" s="1"/>
  <c r="E41" i="84"/>
  <c r="F185" i="84" s="1"/>
  <c r="E37" i="84"/>
  <c r="G100" i="84" s="1"/>
  <c r="E43" i="84"/>
  <c r="F197" i="84" s="1"/>
  <c r="E40" i="84"/>
  <c r="L23" i="84" s="1"/>
  <c r="E68" i="84"/>
  <c r="C319" i="84"/>
  <c r="C307" i="84"/>
  <c r="C343" i="84"/>
  <c r="C331" i="84"/>
  <c r="C69" i="84"/>
  <c r="C301" i="84" l="1"/>
  <c r="D300" i="84" s="1"/>
  <c r="D291" i="84"/>
  <c r="C349" i="84"/>
  <c r="D348" i="84" s="1"/>
  <c r="D340" i="84"/>
  <c r="D301" i="84"/>
  <c r="E300" i="84" s="1"/>
  <c r="E291"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D292" i="84"/>
  <c r="D258" i="84" s="1"/>
  <c r="D26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6" i="84"/>
  <c r="E98" i="84"/>
  <c r="E101" i="84"/>
  <c r="E97" i="84"/>
  <c r="E103" i="84"/>
  <c r="D359" i="84"/>
  <c r="C325" i="84"/>
  <c r="D324" i="84" s="1"/>
  <c r="D316" i="84"/>
  <c r="H294" i="84"/>
  <c r="D319" i="84"/>
  <c r="D307" i="84"/>
  <c r="D331" i="84"/>
  <c r="D343" i="84"/>
  <c r="D69" i="84"/>
  <c r="G343" i="84"/>
  <c r="G331" i="84"/>
  <c r="G307" i="84"/>
  <c r="G319" i="84"/>
  <c r="G69" i="84"/>
  <c r="E294" i="84"/>
  <c r="C187" i="84"/>
  <c r="E301" i="84" l="1"/>
  <c r="F300" i="84" s="1"/>
  <c r="F291" i="84"/>
  <c r="E292" i="84"/>
  <c r="E258" i="84" s="1"/>
  <c r="E261" i="84" s="1"/>
  <c r="H328" i="84"/>
  <c r="H329" i="84" s="1"/>
  <c r="H273" i="84" s="1"/>
  <c r="H276" i="84" s="1"/>
  <c r="G337" i="84"/>
  <c r="E328" i="84"/>
  <c r="E329" i="84" s="1"/>
  <c r="E273" i="84" s="1"/>
  <c r="E276" i="84" s="1"/>
  <c r="D337" i="84"/>
  <c r="D329" i="84"/>
  <c r="D273" i="84" s="1"/>
  <c r="D276" i="84" s="1"/>
  <c r="D101" i="84"/>
  <c r="D97" i="84"/>
  <c r="D103" i="84"/>
  <c r="D98" i="84"/>
  <c r="D96" i="84"/>
  <c r="C359" i="84"/>
  <c r="C304" i="84"/>
  <c r="C305" i="84" s="1"/>
  <c r="C263" i="84" s="1"/>
  <c r="C266" i="84" s="1"/>
  <c r="B305" i="84"/>
  <c r="B263" i="84" s="1"/>
  <c r="B266" i="84" s="1"/>
  <c r="B313" i="84"/>
  <c r="C312" i="84" s="1"/>
  <c r="C222" i="84"/>
  <c r="D221" i="84" s="1"/>
  <c r="D196" i="84"/>
  <c r="I98" i="84"/>
  <c r="I103" i="84"/>
  <c r="I96" i="84"/>
  <c r="I97" i="84"/>
  <c r="I101" i="84"/>
  <c r="H359" i="84"/>
  <c r="H340" i="84"/>
  <c r="H341" i="84" s="1"/>
  <c r="H278" i="84" s="1"/>
  <c r="H281" i="84" s="1"/>
  <c r="G349" i="84"/>
  <c r="H348" i="84" s="1"/>
  <c r="D305" i="84"/>
  <c r="D263" i="84" s="1"/>
  <c r="D266" i="84" s="1"/>
  <c r="D313" i="84"/>
  <c r="E312" i="84" s="1"/>
  <c r="E304" i="84"/>
  <c r="J97" i="84"/>
  <c r="J98" i="84"/>
  <c r="J96" i="84"/>
  <c r="J101" i="84"/>
  <c r="J103" i="84"/>
  <c r="I359" i="84"/>
  <c r="H349" i="84"/>
  <c r="C328" i="84"/>
  <c r="C329" i="84" s="1"/>
  <c r="C273" i="84" s="1"/>
  <c r="C276" i="84" s="1"/>
  <c r="B337" i="84"/>
  <c r="B329" i="84"/>
  <c r="B273" i="84" s="1"/>
  <c r="B276" i="84" s="1"/>
  <c r="C198" i="84"/>
  <c r="C151" i="84" s="1"/>
  <c r="C153" i="84" s="1"/>
  <c r="G316" i="84"/>
  <c r="G317" i="84" s="1"/>
  <c r="G268" i="84" s="1"/>
  <c r="G271" i="84" s="1"/>
  <c r="F325" i="84"/>
  <c r="G324" i="84" s="1"/>
  <c r="G97" i="84"/>
  <c r="G103" i="84"/>
  <c r="G96" i="84"/>
  <c r="G98" i="84"/>
  <c r="G101"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E349" i="84"/>
  <c r="F348" i="84" s="1"/>
  <c r="C352" i="84"/>
  <c r="D336" i="84"/>
  <c r="B301" i="84"/>
  <c r="C300" i="84" s="1"/>
  <c r="C291" i="84"/>
  <c r="C292" i="84" s="1"/>
  <c r="C258" i="84" s="1"/>
  <c r="C261" i="84" s="1"/>
  <c r="H316" i="84"/>
  <c r="H317" i="84" s="1"/>
  <c r="H268" i="84" s="1"/>
  <c r="H271" i="84" s="1"/>
  <c r="G325" i="84"/>
  <c r="H324" i="84" s="1"/>
  <c r="F98" i="84"/>
  <c r="F97" i="84"/>
  <c r="F101" i="84"/>
  <c r="F96" i="84"/>
  <c r="F103"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E305" i="84"/>
  <c r="E263" i="84" s="1"/>
  <c r="E266" i="84" s="1"/>
  <c r="H325" i="84"/>
  <c r="F301" i="84"/>
  <c r="G300" i="84" s="1"/>
  <c r="G291" i="84"/>
  <c r="G292" i="84" s="1"/>
  <c r="G258" i="84" s="1"/>
  <c r="G261" i="84" s="1"/>
  <c r="F292" i="84"/>
  <c r="F258" i="84" s="1"/>
  <c r="F261" i="84" s="1"/>
  <c r="H98" i="84"/>
  <c r="H103" i="84"/>
  <c r="H96" i="84"/>
  <c r="H101" i="84"/>
  <c r="H97" i="84"/>
  <c r="G359" i="84"/>
  <c r="G340" i="84"/>
  <c r="G341" i="84" s="1"/>
  <c r="G278" i="84" s="1"/>
  <c r="G281" i="84" s="1"/>
  <c r="F341" i="84"/>
  <c r="F278" i="84" s="1"/>
  <c r="F281" i="84" s="1"/>
  <c r="F349" i="84"/>
  <c r="G348" i="84" s="1"/>
  <c r="F316" i="84"/>
  <c r="F317" i="84" s="1"/>
  <c r="F268" i="84" s="1"/>
  <c r="F271" i="84" s="1"/>
  <c r="E325" i="84"/>
  <c r="F324" i="84" s="1"/>
  <c r="D283" i="84" l="1"/>
  <c r="F95" i="84" s="1"/>
  <c r="B283" i="84"/>
  <c r="D95" i="84" s="1"/>
  <c r="G364" i="84"/>
  <c r="G366" i="84" s="1"/>
  <c r="G361" i="84"/>
  <c r="H352" i="84"/>
  <c r="J107" i="84" s="1"/>
  <c r="D368" i="84"/>
  <c r="E85" i="84" s="1"/>
  <c r="D187" i="84"/>
  <c r="F336" i="84"/>
  <c r="E352" i="84"/>
  <c r="C361" i="84"/>
  <c r="C364" i="84"/>
  <c r="C366" i="84" s="1"/>
  <c r="E283" i="84"/>
  <c r="G95" i="84" s="1"/>
  <c r="D102" i="84"/>
  <c r="C141" i="84"/>
  <c r="C170" i="84" s="1"/>
  <c r="D82" i="84" s="1"/>
  <c r="F364" i="84"/>
  <c r="F366" i="84" s="1"/>
  <c r="F361" i="84"/>
  <c r="C336" i="84"/>
  <c r="B352" i="84"/>
  <c r="I364" i="84"/>
  <c r="I366" i="84" s="1"/>
  <c r="I361" i="84"/>
  <c r="H364" i="84"/>
  <c r="H366" i="84" s="1"/>
  <c r="H361" i="84"/>
  <c r="F283" i="84"/>
  <c r="H95" i="84" s="1"/>
  <c r="D193" i="84"/>
  <c r="D192" i="84" s="1"/>
  <c r="D147" i="84" s="1"/>
  <c r="D149" i="84" s="1"/>
  <c r="H283" i="84"/>
  <c r="J95" i="84" s="1"/>
  <c r="E364" i="84"/>
  <c r="E366" i="84" s="1"/>
  <c r="E361" i="84"/>
  <c r="D351" i="84"/>
  <c r="F106" i="84" s="1"/>
  <c r="E107" i="84"/>
  <c r="F352" i="84"/>
  <c r="G336" i="84"/>
  <c r="C210" i="84"/>
  <c r="D176" i="84"/>
  <c r="H336" i="84"/>
  <c r="G352" i="84"/>
  <c r="G283" i="84"/>
  <c r="I95" i="84" s="1"/>
  <c r="C283" i="84"/>
  <c r="E95" i="84" s="1"/>
  <c r="D199" i="84"/>
  <c r="D198" i="84" s="1"/>
  <c r="D151" i="84" s="1"/>
  <c r="D153" i="84" s="1"/>
  <c r="E336" i="84"/>
  <c r="D352" i="84"/>
  <c r="E52" i="61" l="1"/>
  <c r="E54" i="61" s="1"/>
  <c r="B26" i="69" s="1"/>
  <c r="K26" i="69" s="1"/>
  <c r="E368" i="84"/>
  <c r="F85" i="84" s="1"/>
  <c r="I368" i="84"/>
  <c r="J85" i="84" s="1"/>
  <c r="F368" i="84"/>
  <c r="G85" i="84" s="1"/>
  <c r="G368" i="84"/>
  <c r="H85" i="84" s="1"/>
  <c r="H368" i="84"/>
  <c r="I85" i="84" s="1"/>
  <c r="D209" i="84"/>
  <c r="C227" i="84"/>
  <c r="D218" i="84"/>
  <c r="E217" i="84" s="1"/>
  <c r="E190" i="84"/>
  <c r="F351" i="84"/>
  <c r="H106" i="84" s="1"/>
  <c r="G107" i="84"/>
  <c r="H351" i="84"/>
  <c r="J106" i="84" s="1"/>
  <c r="I107" i="84"/>
  <c r="D214" i="84"/>
  <c r="E213" i="84" s="1"/>
  <c r="E184" i="84"/>
  <c r="D222" i="84"/>
  <c r="E221" i="84" s="1"/>
  <c r="E196" i="84"/>
  <c r="H107" i="84"/>
  <c r="G351" i="84"/>
  <c r="I106" i="84" s="1"/>
  <c r="F107" i="84"/>
  <c r="E351" i="84"/>
  <c r="G106" i="84" s="1"/>
  <c r="D179" i="84"/>
  <c r="D178" i="84" s="1"/>
  <c r="D139" i="84" s="1"/>
  <c r="D107" i="84"/>
  <c r="D109" i="84" s="1"/>
  <c r="C351" i="84"/>
  <c r="E106" i="84" s="1"/>
  <c r="C368" i="84"/>
  <c r="D85" i="84" s="1"/>
  <c r="D87" i="84" s="1"/>
  <c r="D186" i="84"/>
  <c r="D143" i="84" s="1"/>
  <c r="D145" i="84" s="1"/>
  <c r="B13" i="21" l="1"/>
  <c r="E39" i="61"/>
  <c r="C12" i="68"/>
  <c r="E40" i="61"/>
  <c r="D210" i="84"/>
  <c r="E176" i="84"/>
  <c r="E187" i="84"/>
  <c r="E186" i="84" s="1"/>
  <c r="E143" i="84" s="1"/>
  <c r="E145" i="84" s="1"/>
  <c r="D226" i="84"/>
  <c r="D90" i="84"/>
  <c r="B18" i="21"/>
  <c r="B19" i="21" s="1"/>
  <c r="E18" i="61"/>
  <c r="C127" i="29"/>
  <c r="C157" i="29"/>
  <c r="C142" i="29"/>
  <c r="C172" i="29"/>
  <c r="D127" i="84"/>
  <c r="B27" i="21"/>
  <c r="B29" i="21" s="1"/>
  <c r="E102" i="84"/>
  <c r="D141" i="84"/>
  <c r="D170" i="84" s="1"/>
  <c r="E82" i="84" s="1"/>
  <c r="E199" i="84"/>
  <c r="E193" i="84"/>
  <c r="D129" i="84" l="1"/>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9" i="84"/>
  <c r="C17" i="21"/>
  <c r="E209" i="84"/>
  <c r="D227" i="84"/>
  <c r="E87" i="84"/>
  <c r="E192" i="84"/>
  <c r="E147" i="84" s="1"/>
  <c r="E149" i="84" s="1"/>
  <c r="F52" i="61"/>
  <c r="F54" i="61" s="1"/>
  <c r="C26" i="69" s="1"/>
  <c r="D12" i="68" s="1"/>
  <c r="E109" i="84"/>
  <c r="F9" i="61"/>
  <c r="F12" i="61" s="1"/>
  <c r="E21" i="61"/>
  <c r="E42" i="61" s="1"/>
  <c r="B11" i="69" s="1"/>
  <c r="E214" i="84"/>
  <c r="F213" i="84" s="1"/>
  <c r="F184" i="84"/>
  <c r="B9" i="69"/>
  <c r="C132" i="29"/>
  <c r="C133" i="29" s="1"/>
  <c r="C147" i="29"/>
  <c r="C148" i="29" s="1"/>
  <c r="C177" i="29"/>
  <c r="C178" i="29" s="1"/>
  <c r="B42" i="21"/>
  <c r="B44" i="21" s="1"/>
  <c r="B49" i="21" s="1"/>
  <c r="C162" i="29"/>
  <c r="C163" i="29" s="1"/>
  <c r="C24" i="68"/>
  <c r="C13" i="21" l="1"/>
  <c r="F39" i="61"/>
  <c r="E44" i="61"/>
  <c r="E55" i="61" s="1"/>
  <c r="E57" i="61" s="1"/>
  <c r="D11" i="62" s="1"/>
  <c r="C134" i="29"/>
  <c r="C179" i="29"/>
  <c r="C13" i="68"/>
  <c r="K11" i="69"/>
  <c r="F40" i="61"/>
  <c r="K9" i="69"/>
  <c r="F102" i="84"/>
  <c r="E141" i="84"/>
  <c r="E170" i="84" s="1"/>
  <c r="F82" i="84" s="1"/>
  <c r="C149" i="29"/>
  <c r="E90"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E129" i="84" l="1"/>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9" i="84"/>
  <c r="D17" i="21"/>
  <c r="F87" i="84"/>
  <c r="C9" i="69"/>
  <c r="D123" i="57"/>
  <c r="D124" i="57" s="1"/>
  <c r="D12" i="62"/>
  <c r="D143" i="29"/>
  <c r="D144" i="29" s="1"/>
  <c r="D173" i="29"/>
  <c r="D174" i="29" s="1"/>
  <c r="D158" i="29"/>
  <c r="D159" i="29" s="1"/>
  <c r="D128" i="29"/>
  <c r="D129" i="29" s="1"/>
  <c r="G52" i="61"/>
  <c r="G54" i="61" s="1"/>
  <c r="D26" i="69" s="1"/>
  <c r="E12" i="68" s="1"/>
  <c r="F109" i="84"/>
  <c r="G190" i="84"/>
  <c r="F218" i="84"/>
  <c r="G217" i="84" s="1"/>
  <c r="F192" i="84"/>
  <c r="F147" i="84" s="1"/>
  <c r="F149" i="84" s="1"/>
  <c r="F209" i="84"/>
  <c r="E227" i="84"/>
  <c r="F222" i="84"/>
  <c r="G221" i="84" s="1"/>
  <c r="G196" i="84"/>
  <c r="D13" i="21" l="1"/>
  <c r="G39" i="61"/>
  <c r="B52" i="21"/>
  <c r="C41" i="29" s="1"/>
  <c r="D134" i="29"/>
  <c r="D164" i="29"/>
  <c r="D179" i="29"/>
  <c r="F44" i="61"/>
  <c r="F55" i="61" s="1"/>
  <c r="F57" i="61" s="1"/>
  <c r="G199" i="84"/>
  <c r="I12" i="62"/>
  <c r="D22" i="29"/>
  <c r="C80" i="29"/>
  <c r="C68" i="29"/>
  <c r="C91" i="29"/>
  <c r="E19" i="62"/>
  <c r="E22" i="62" s="1"/>
  <c r="C15" i="29"/>
  <c r="G40" i="61"/>
  <c r="G187" i="84"/>
  <c r="L24" i="68"/>
  <c r="K25" i="69"/>
  <c r="B28" i="69"/>
  <c r="E157" i="29"/>
  <c r="E172" i="29"/>
  <c r="E142" i="29"/>
  <c r="E127" i="29"/>
  <c r="F90"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F19" i="62"/>
  <c r="B34" i="69"/>
  <c r="G179" i="84"/>
  <c r="G178" i="84" s="1"/>
  <c r="G139" i="84" s="1"/>
  <c r="E17" i="21"/>
  <c r="G89" i="84"/>
  <c r="G102"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B90" i="22" s="1"/>
  <c r="B91" i="22" s="1"/>
  <c r="B55" i="21" s="1"/>
  <c r="C31" i="68" s="1"/>
  <c r="C32" i="68" s="1"/>
  <c r="G198" i="84"/>
  <c r="G151" i="84" s="1"/>
  <c r="G153" i="84" s="1"/>
  <c r="E134" i="29" l="1"/>
  <c r="E179" i="29"/>
  <c r="C52" i="21"/>
  <c r="D41" i="29" s="1"/>
  <c r="E149" i="29"/>
  <c r="E164" i="29"/>
  <c r="G44" i="61"/>
  <c r="G55" i="61" s="1"/>
  <c r="G56" i="61" s="1"/>
  <c r="H102" i="84"/>
  <c r="G141" i="84"/>
  <c r="G170" i="84" s="1"/>
  <c r="H82" i="84" s="1"/>
  <c r="B56" i="21"/>
  <c r="B57" i="21" s="1"/>
  <c r="E13" i="68"/>
  <c r="H193" i="84"/>
  <c r="H192" i="84" s="1"/>
  <c r="H147" i="84" s="1"/>
  <c r="H149" i="84" s="1"/>
  <c r="K34" i="69"/>
  <c r="C34" i="69"/>
  <c r="G90" i="84"/>
  <c r="G226" i="84"/>
  <c r="E18" i="21"/>
  <c r="H18" i="61"/>
  <c r="H187" i="84"/>
  <c r="H186" i="84" s="1"/>
  <c r="H143" i="84" s="1"/>
  <c r="H145" i="84" s="1"/>
  <c r="K32" i="69"/>
  <c r="H199" i="84"/>
  <c r="H198" i="84" s="1"/>
  <c r="H151" i="84" s="1"/>
  <c r="H153" i="84" s="1"/>
  <c r="G87" i="84"/>
  <c r="F20" i="62"/>
  <c r="F21" i="62"/>
  <c r="M24" i="68"/>
  <c r="D11" i="68"/>
  <c r="C28" i="69"/>
  <c r="C32" i="69" s="1"/>
  <c r="G109" i="84"/>
  <c r="H52" i="61"/>
  <c r="H54" i="61" s="1"/>
  <c r="E26" i="69" s="1"/>
  <c r="F12" i="68" s="1"/>
  <c r="G210" i="84"/>
  <c r="H176" i="84"/>
  <c r="H39" i="61" l="1"/>
  <c r="E13" i="21"/>
  <c r="D30" i="68"/>
  <c r="C54" i="21"/>
  <c r="C87" i="22" s="1"/>
  <c r="C90" i="22" s="1"/>
  <c r="C91" i="22" s="1"/>
  <c r="C55" i="21" s="1"/>
  <c r="D31" i="68" s="1"/>
  <c r="G57" i="61"/>
  <c r="H179" i="84"/>
  <c r="D52" i="21"/>
  <c r="E41" i="29" s="1"/>
  <c r="D25" i="69"/>
  <c r="C37" i="29"/>
  <c r="C39" i="29" s="1"/>
  <c r="C42" i="29" s="1"/>
  <c r="C44" i="29" s="1"/>
  <c r="C55" i="29"/>
  <c r="C60" i="29" s="1"/>
  <c r="C64" i="29" s="1"/>
  <c r="B58" i="21"/>
  <c r="D9" i="29"/>
  <c r="D14" i="29" s="1"/>
  <c r="C77" i="29"/>
  <c r="D92" i="29"/>
  <c r="D95" i="29" s="1"/>
  <c r="D96" i="29" s="1"/>
  <c r="E27" i="21"/>
  <c r="E29" i="21" s="1"/>
  <c r="G127" i="84"/>
  <c r="G129" i="84" s="1"/>
  <c r="I190" i="84"/>
  <c r="H218" i="84"/>
  <c r="I217" i="84" s="1"/>
  <c r="H209" i="84"/>
  <c r="G227" i="84"/>
  <c r="H40" i="61"/>
  <c r="F128" i="29"/>
  <c r="F173" i="29"/>
  <c r="F158" i="29"/>
  <c r="F143" i="29"/>
  <c r="D34" i="69"/>
  <c r="H87" i="84"/>
  <c r="F157" i="29"/>
  <c r="F172" i="29"/>
  <c r="F142" i="29"/>
  <c r="F127" i="29"/>
  <c r="E19" i="21"/>
  <c r="I9" i="61"/>
  <c r="I12" i="61" s="1"/>
  <c r="H21" i="61"/>
  <c r="H42" i="61" s="1"/>
  <c r="E11" i="69" s="1"/>
  <c r="H222" i="84"/>
  <c r="I221" i="84" s="1"/>
  <c r="I196" i="84"/>
  <c r="H214" i="84"/>
  <c r="I213" i="84" s="1"/>
  <c r="I184" i="84"/>
  <c r="H89" i="84"/>
  <c r="F17" i="21"/>
  <c r="H109" i="84"/>
  <c r="I52" i="61"/>
  <c r="I54" i="61" s="1"/>
  <c r="F26" i="69" s="1"/>
  <c r="G12" i="68" s="1"/>
  <c r="F13" i="21" l="1"/>
  <c r="I39" i="61"/>
  <c r="I40" i="61" s="1"/>
  <c r="D32" i="68"/>
  <c r="F129" i="29"/>
  <c r="F144" i="29"/>
  <c r="F159" i="29"/>
  <c r="I199" i="84"/>
  <c r="I222" i="84" s="1"/>
  <c r="G172" i="29"/>
  <c r="G127" i="29"/>
  <c r="G142" i="29"/>
  <c r="G157" i="29"/>
  <c r="E9" i="69"/>
  <c r="H44" i="61"/>
  <c r="H55" i="61" s="1"/>
  <c r="H210" i="84"/>
  <c r="I176" i="84"/>
  <c r="F174" i="29"/>
  <c r="F132" i="29"/>
  <c r="F133" i="29" s="1"/>
  <c r="E42" i="21"/>
  <c r="E44" i="21" s="1"/>
  <c r="E49" i="21" s="1"/>
  <c r="F177" i="29"/>
  <c r="F178" i="29" s="1"/>
  <c r="F162" i="29"/>
  <c r="F163" i="29" s="1"/>
  <c r="F147" i="29"/>
  <c r="F148" i="29" s="1"/>
  <c r="F24" i="68"/>
  <c r="D15" i="29"/>
  <c r="E11" i="68"/>
  <c r="D28" i="69"/>
  <c r="D32" i="69" s="1"/>
  <c r="I187" i="84"/>
  <c r="I214" i="84" s="1"/>
  <c r="F6" i="68"/>
  <c r="E34" i="69"/>
  <c r="H90" i="84"/>
  <c r="H226" i="84"/>
  <c r="I18" i="61"/>
  <c r="F18" i="21"/>
  <c r="F19" i="21" s="1"/>
  <c r="I193" i="84"/>
  <c r="I218" i="84" s="1"/>
  <c r="B38" i="69"/>
  <c r="C106" i="29"/>
  <c r="C110" i="29" s="1"/>
  <c r="C114" i="29" s="1"/>
  <c r="B59" i="21"/>
  <c r="C8" i="68"/>
  <c r="C14" i="68" s="1"/>
  <c r="C33" i="68" s="1"/>
  <c r="C35" i="68" s="1"/>
  <c r="B39" i="69"/>
  <c r="K39" i="69" s="1"/>
  <c r="B18" i="69"/>
  <c r="E30" i="68"/>
  <c r="D54" i="21"/>
  <c r="F27" i="21"/>
  <c r="F29" i="21" s="1"/>
  <c r="H127" i="84"/>
  <c r="C56" i="21"/>
  <c r="C57" i="21" s="1"/>
  <c r="H178" i="84"/>
  <c r="H139" i="84" s="1"/>
  <c r="F134" i="29" l="1"/>
  <c r="F164" i="29"/>
  <c r="H129" i="84"/>
  <c r="F149" i="29"/>
  <c r="I198" i="84"/>
  <c r="I151" i="84" s="1"/>
  <c r="I153" i="84" s="1"/>
  <c r="I192" i="84"/>
  <c r="I147" i="84" s="1"/>
  <c r="I149" i="84" s="1"/>
  <c r="G6" i="68"/>
  <c r="I102" i="84"/>
  <c r="H141" i="84"/>
  <c r="H170" i="84" s="1"/>
  <c r="I82" i="84" s="1"/>
  <c r="I89" i="84"/>
  <c r="G17" i="21"/>
  <c r="B8" i="69"/>
  <c r="D34" i="68"/>
  <c r="N24" i="68"/>
  <c r="F179" i="29"/>
  <c r="G158" i="29"/>
  <c r="G159" i="29" s="1"/>
  <c r="G143" i="29"/>
  <c r="G144" i="29" s="1"/>
  <c r="G128" i="29"/>
  <c r="G129" i="29" s="1"/>
  <c r="G173" i="29"/>
  <c r="G174" i="29" s="1"/>
  <c r="F34" i="69"/>
  <c r="I179" i="84"/>
  <c r="I210" i="84" s="1"/>
  <c r="I227" i="84" s="1"/>
  <c r="H57" i="61"/>
  <c r="H56" i="61"/>
  <c r="D77" i="29"/>
  <c r="E92" i="29"/>
  <c r="E95" i="29" s="1"/>
  <c r="E96" i="29" s="1"/>
  <c r="E9" i="29"/>
  <c r="E14" i="29" s="1"/>
  <c r="D37" i="29"/>
  <c r="D39" i="29" s="1"/>
  <c r="D42" i="29" s="1"/>
  <c r="D44" i="29" s="1"/>
  <c r="D55" i="29"/>
  <c r="D60" i="29" s="1"/>
  <c r="D64" i="29" s="1"/>
  <c r="G162" i="29"/>
  <c r="G163" i="29" s="1"/>
  <c r="F42" i="21"/>
  <c r="F44" i="21" s="1"/>
  <c r="F49" i="21" s="1"/>
  <c r="G132" i="29"/>
  <c r="G133" i="29" s="1"/>
  <c r="G177" i="29"/>
  <c r="G178" i="29" s="1"/>
  <c r="G24" i="68"/>
  <c r="G147" i="29"/>
  <c r="G148" i="29" s="1"/>
  <c r="K18" i="69"/>
  <c r="D87" i="22"/>
  <c r="D90" i="22" s="1"/>
  <c r="D91" i="22" s="1"/>
  <c r="D55" i="21" s="1"/>
  <c r="E31" i="68" s="1"/>
  <c r="E32" i="68" s="1"/>
  <c r="K38" i="69"/>
  <c r="B40" i="69"/>
  <c r="J9" i="61"/>
  <c r="J12" i="61" s="1"/>
  <c r="I21" i="61"/>
  <c r="I42" i="61" s="1"/>
  <c r="F11" i="69" s="1"/>
  <c r="I186" i="84"/>
  <c r="I143" i="84" s="1"/>
  <c r="I145" i="84" s="1"/>
  <c r="F9" i="69"/>
  <c r="I209" i="84"/>
  <c r="H227" i="84"/>
  <c r="F13" i="68"/>
  <c r="G164" i="29" l="1"/>
  <c r="G13" i="68"/>
  <c r="I44" i="61"/>
  <c r="I55" i="61" s="1"/>
  <c r="I57" i="61" s="1"/>
  <c r="G179" i="29"/>
  <c r="G149" i="29"/>
  <c r="G18" i="21"/>
  <c r="I90" i="84"/>
  <c r="J18" i="61"/>
  <c r="I226" i="84"/>
  <c r="D8" i="68"/>
  <c r="D14" i="68" s="1"/>
  <c r="D33" i="68" s="1"/>
  <c r="D35" i="68" s="1"/>
  <c r="C39" i="69"/>
  <c r="G34" i="69"/>
  <c r="K40" i="69"/>
  <c r="C37" i="69"/>
  <c r="B42" i="69"/>
  <c r="C18" i="69"/>
  <c r="C58" i="21"/>
  <c r="E25" i="69"/>
  <c r="E52" i="21"/>
  <c r="F41" i="29" s="1"/>
  <c r="I87" i="84"/>
  <c r="I109" i="84"/>
  <c r="J52" i="61"/>
  <c r="J54" i="61" s="1"/>
  <c r="G26" i="69" s="1"/>
  <c r="H12" i="68" s="1"/>
  <c r="G134" i="29"/>
  <c r="D56" i="21"/>
  <c r="D57" i="21" s="1"/>
  <c r="E15" i="29"/>
  <c r="I178" i="84"/>
  <c r="I139" i="84" s="1"/>
  <c r="K8" i="69"/>
  <c r="C36" i="68"/>
  <c r="C37" i="68" s="1"/>
  <c r="B12" i="69"/>
  <c r="H18" i="21"/>
  <c r="J90" i="84"/>
  <c r="K18" i="61"/>
  <c r="K21" i="61" s="1"/>
  <c r="K42" i="61" s="1"/>
  <c r="H11" i="69" s="1"/>
  <c r="O24" i="68"/>
  <c r="G13" i="21" l="1"/>
  <c r="J39" i="61"/>
  <c r="I56" i="61"/>
  <c r="F52" i="21" s="1"/>
  <c r="G41" i="29" s="1"/>
  <c r="J40" i="61"/>
  <c r="H34" i="69"/>
  <c r="K9" i="61"/>
  <c r="K12" i="61" s="1"/>
  <c r="J21" i="61"/>
  <c r="J42" i="61" s="1"/>
  <c r="G11" i="69" s="1"/>
  <c r="F30" i="68"/>
  <c r="E54" i="21"/>
  <c r="E77" i="29"/>
  <c r="F92" i="29"/>
  <c r="F95" i="29" s="1"/>
  <c r="F96" i="29" s="1"/>
  <c r="D18" i="69"/>
  <c r="E37" i="29"/>
  <c r="E39" i="29" s="1"/>
  <c r="E42" i="29" s="1"/>
  <c r="E44" i="29" s="1"/>
  <c r="E55" i="29"/>
  <c r="E60" i="29" s="1"/>
  <c r="E64" i="29" s="1"/>
  <c r="F9" i="29"/>
  <c r="F14" i="29" s="1"/>
  <c r="I127" i="84"/>
  <c r="I129" i="84" s="1"/>
  <c r="G27" i="21"/>
  <c r="G29" i="21" s="1"/>
  <c r="F11" i="68"/>
  <c r="E28" i="69"/>
  <c r="E32" i="69" s="1"/>
  <c r="K42" i="69"/>
  <c r="B44" i="69"/>
  <c r="E34" i="68"/>
  <c r="C8" i="69"/>
  <c r="H158" i="29"/>
  <c r="H128" i="29"/>
  <c r="H143" i="29"/>
  <c r="H173" i="29"/>
  <c r="J102" i="84"/>
  <c r="I141" i="84"/>
  <c r="I170" i="84" s="1"/>
  <c r="J82" i="84" s="1"/>
  <c r="B21" i="69"/>
  <c r="K21" i="69" s="1"/>
  <c r="K12" i="69"/>
  <c r="H142" i="29"/>
  <c r="H157" i="29"/>
  <c r="H127" i="29"/>
  <c r="H172" i="29"/>
  <c r="H174" i="29" s="1"/>
  <c r="G19" i="21"/>
  <c r="C38" i="69"/>
  <c r="C40" i="69" s="1"/>
  <c r="D106" i="29"/>
  <c r="D110" i="29" s="1"/>
  <c r="D114" i="29" s="1"/>
  <c r="C59" i="21"/>
  <c r="J89" i="84"/>
  <c r="H17" i="21"/>
  <c r="I173" i="29" s="1"/>
  <c r="F25" i="69" l="1"/>
  <c r="G11" i="68" s="1"/>
  <c r="H159" i="29"/>
  <c r="D58" i="21"/>
  <c r="D38" i="69" s="1"/>
  <c r="I158" i="29"/>
  <c r="H129" i="29"/>
  <c r="H144" i="29"/>
  <c r="I143" i="29"/>
  <c r="C12" i="69"/>
  <c r="C21" i="69" s="1"/>
  <c r="D36" i="68"/>
  <c r="D37" i="68" s="1"/>
  <c r="G30" i="68"/>
  <c r="F54" i="21"/>
  <c r="I128" i="29"/>
  <c r="J87" i="84"/>
  <c r="F15" i="29"/>
  <c r="E8" i="68"/>
  <c r="E14" i="68" s="1"/>
  <c r="E33" i="68" s="1"/>
  <c r="E35" i="68" s="1"/>
  <c r="D39" i="69"/>
  <c r="D37" i="69"/>
  <c r="C42" i="69"/>
  <c r="C44" i="69" s="1"/>
  <c r="H6" i="68"/>
  <c r="J109" i="84"/>
  <c r="K52" i="61"/>
  <c r="K54" i="61" s="1"/>
  <c r="H26" i="69" s="1"/>
  <c r="I12" i="68" s="1"/>
  <c r="G9" i="69"/>
  <c r="J44" i="61"/>
  <c r="J55" i="61" s="1"/>
  <c r="K44" i="69"/>
  <c r="B47" i="69"/>
  <c r="H162" i="29"/>
  <c r="H163" i="29" s="1"/>
  <c r="H164" i="29" s="1"/>
  <c r="H147" i="29"/>
  <c r="H148" i="29" s="1"/>
  <c r="H132" i="29"/>
  <c r="H133" i="29" s="1"/>
  <c r="G42" i="21"/>
  <c r="G44" i="21" s="1"/>
  <c r="G49" i="21" s="1"/>
  <c r="H177" i="29"/>
  <c r="H178" i="29" s="1"/>
  <c r="H179" i="29" s="1"/>
  <c r="H24" i="68"/>
  <c r="E87" i="22"/>
  <c r="E90" i="22" s="1"/>
  <c r="E91" i="22" s="1"/>
  <c r="E55" i="21" s="1"/>
  <c r="F31" i="68" s="1"/>
  <c r="F32" i="68" s="1"/>
  <c r="H13" i="21" l="1"/>
  <c r="I157" i="29" s="1"/>
  <c r="I159" i="29" s="1"/>
  <c r="K39" i="61"/>
  <c r="K40" i="61" s="1"/>
  <c r="H149" i="29"/>
  <c r="D59" i="21"/>
  <c r="F28" i="69"/>
  <c r="F32" i="69" s="1"/>
  <c r="E106" i="29"/>
  <c r="E110" i="29" s="1"/>
  <c r="E114" i="29" s="1"/>
  <c r="H134" i="29"/>
  <c r="C47" i="69"/>
  <c r="F87" i="22"/>
  <c r="F90" i="22" s="1"/>
  <c r="F91" i="22" s="1"/>
  <c r="F55" i="21" s="1"/>
  <c r="G31" i="68" s="1"/>
  <c r="G32" i="68" s="1"/>
  <c r="P24" i="68"/>
  <c r="J127" i="84"/>
  <c r="J129" i="84" s="1"/>
  <c r="H27" i="21"/>
  <c r="H29" i="21" s="1"/>
  <c r="D8" i="69"/>
  <c r="F34" i="68"/>
  <c r="I127" i="29"/>
  <c r="I129" i="29" s="1"/>
  <c r="I172" i="29"/>
  <c r="I174" i="29" s="1"/>
  <c r="E56" i="21"/>
  <c r="E57" i="21" s="1"/>
  <c r="J57" i="61"/>
  <c r="J56" i="61"/>
  <c r="D40" i="69"/>
  <c r="H13" i="68"/>
  <c r="I142" i="29" l="1"/>
  <c r="I144" i="29" s="1"/>
  <c r="H19" i="21"/>
  <c r="I6" i="68" s="1"/>
  <c r="I132" i="29"/>
  <c r="I133" i="29" s="1"/>
  <c r="I134" i="29" s="1"/>
  <c r="H42" i="21"/>
  <c r="I147" i="29"/>
  <c r="I148" i="29" s="1"/>
  <c r="I149" i="29" s="1"/>
  <c r="I162" i="29"/>
  <c r="I163" i="29" s="1"/>
  <c r="I164" i="29" s="1"/>
  <c r="I177" i="29"/>
  <c r="I178" i="29" s="1"/>
  <c r="I179" i="29" s="1"/>
  <c r="I24" i="68"/>
  <c r="F56" i="21"/>
  <c r="F57" i="21" s="1"/>
  <c r="E37" i="69"/>
  <c r="D42" i="69"/>
  <c r="D44" i="69" s="1"/>
  <c r="E58" i="21"/>
  <c r="F77" i="29"/>
  <c r="F37" i="29"/>
  <c r="F39" i="29" s="1"/>
  <c r="F42" i="29" s="1"/>
  <c r="F44" i="29" s="1"/>
  <c r="G9" i="29"/>
  <c r="G14" i="29" s="1"/>
  <c r="G92" i="29"/>
  <c r="G95" i="29" s="1"/>
  <c r="G96" i="29" s="1"/>
  <c r="F55" i="29"/>
  <c r="F60" i="29" s="1"/>
  <c r="F64" i="29" s="1"/>
  <c r="D12" i="69"/>
  <c r="D21" i="69" s="1"/>
  <c r="E36" i="68"/>
  <c r="E37" i="68" s="1"/>
  <c r="H9" i="69"/>
  <c r="I13" i="68" s="1"/>
  <c r="K44" i="61"/>
  <c r="K55" i="61" s="1"/>
  <c r="G25" i="69"/>
  <c r="G52" i="21"/>
  <c r="H41" i="29" s="1"/>
  <c r="H44" i="21" l="1"/>
  <c r="H49" i="21" s="1"/>
  <c r="H11" i="68"/>
  <c r="G28" i="69"/>
  <c r="G32" i="69" s="1"/>
  <c r="K57" i="61"/>
  <c r="K56" i="61"/>
  <c r="E38" i="69"/>
  <c r="F106" i="29"/>
  <c r="F110" i="29" s="1"/>
  <c r="F114" i="29" s="1"/>
  <c r="C116" i="29" s="1"/>
  <c r="D33" i="62" s="1"/>
  <c r="E59" i="21"/>
  <c r="H30" i="68"/>
  <c r="G54" i="21"/>
  <c r="F8" i="68"/>
  <c r="F14" i="68" s="1"/>
  <c r="F33" i="68" s="1"/>
  <c r="F35" i="68" s="1"/>
  <c r="E39" i="69"/>
  <c r="E18" i="69"/>
  <c r="G77" i="29"/>
  <c r="H9" i="29"/>
  <c r="H14" i="29" s="1"/>
  <c r="H92" i="29"/>
  <c r="H95" i="29" s="1"/>
  <c r="D98" i="29" s="1"/>
  <c r="D32" i="62" s="1"/>
  <c r="G37" i="29"/>
  <c r="G39" i="29" s="1"/>
  <c r="G42" i="29" s="1"/>
  <c r="G44" i="29" s="1"/>
  <c r="F58" i="21"/>
  <c r="G55" i="29"/>
  <c r="G60" i="29" s="1"/>
  <c r="G64" i="29" s="1"/>
  <c r="G15" i="29"/>
  <c r="D47" i="69"/>
  <c r="Q24" i="68"/>
  <c r="E40" i="69" l="1"/>
  <c r="F37" i="69" s="1"/>
  <c r="G106" i="29"/>
  <c r="G110" i="29" s="1"/>
  <c r="F38" i="69"/>
  <c r="H15" i="29"/>
  <c r="G34" i="68"/>
  <c r="E8" i="69"/>
  <c r="F39" i="69"/>
  <c r="G8" i="68"/>
  <c r="G14" i="68" s="1"/>
  <c r="G33" i="68" s="1"/>
  <c r="H96" i="29"/>
  <c r="F18" i="69"/>
  <c r="F59" i="21"/>
  <c r="G87" i="22"/>
  <c r="G90" i="22" s="1"/>
  <c r="G91" i="22" s="1"/>
  <c r="G55" i="21" s="1"/>
  <c r="H31" i="68" s="1"/>
  <c r="H32" i="68" s="1"/>
  <c r="H25" i="69"/>
  <c r="H52" i="21"/>
  <c r="I41" i="29" s="1"/>
  <c r="E42" i="69" l="1"/>
  <c r="E44" i="69" s="1"/>
  <c r="G35" i="68"/>
  <c r="F8" i="69" s="1"/>
  <c r="I30" i="68"/>
  <c r="H54" i="21"/>
  <c r="I11" i="68"/>
  <c r="H28" i="69"/>
  <c r="H32" i="69" s="1"/>
  <c r="G56" i="21"/>
  <c r="G57" i="21" s="1"/>
  <c r="F36" i="68"/>
  <c r="F37" i="68" s="1"/>
  <c r="E12" i="69"/>
  <c r="E21" i="69" s="1"/>
  <c r="F40" i="69"/>
  <c r="H34" i="68" l="1"/>
  <c r="E47" i="69"/>
  <c r="F12" i="69"/>
  <c r="F21" i="69" s="1"/>
  <c r="G36" i="68"/>
  <c r="G37" i="68" s="1"/>
  <c r="G37" i="69"/>
  <c r="F42" i="69"/>
  <c r="F44" i="69" s="1"/>
  <c r="G58" i="21"/>
  <c r="H77" i="29"/>
  <c r="I92" i="29"/>
  <c r="I95" i="29" s="1"/>
  <c r="H55" i="29"/>
  <c r="H60" i="29" s="1"/>
  <c r="H64" i="29" s="1"/>
  <c r="H37" i="29"/>
  <c r="H39" i="29" s="1"/>
  <c r="H42" i="29" s="1"/>
  <c r="H44" i="29" s="1"/>
  <c r="I9" i="29"/>
  <c r="I14" i="29" s="1"/>
  <c r="H87" i="22"/>
  <c r="H90" i="22" s="1"/>
  <c r="H91" i="22" s="1"/>
  <c r="H55" i="21" s="1"/>
  <c r="I31" i="68" s="1"/>
  <c r="I32" i="68" s="1"/>
  <c r="F47" i="69" l="1"/>
  <c r="H56" i="21"/>
  <c r="H57" i="21" s="1"/>
  <c r="H106" i="29"/>
  <c r="H110" i="29" s="1"/>
  <c r="G38" i="69"/>
  <c r="G59" i="21"/>
  <c r="I15" i="29"/>
  <c r="H8" i="68"/>
  <c r="H14" i="68" s="1"/>
  <c r="H33" i="68" s="1"/>
  <c r="H35" i="68" s="1"/>
  <c r="G39" i="69"/>
  <c r="G18" i="69"/>
  <c r="I55" i="29" l="1"/>
  <c r="I60" i="29" s="1"/>
  <c r="I64" i="29" s="1"/>
  <c r="C66" i="29" s="1"/>
  <c r="C70" i="29" s="1"/>
  <c r="D31" i="62" s="1"/>
  <c r="J9" i="29"/>
  <c r="J14" i="29" s="1"/>
  <c r="J15" i="29" s="1"/>
  <c r="C16" i="29" s="1"/>
  <c r="I37" i="29"/>
  <c r="I39" i="29" s="1"/>
  <c r="I42" i="29" s="1"/>
  <c r="I44" i="29" s="1"/>
  <c r="C46" i="29" s="1"/>
  <c r="D28" i="62" s="1"/>
  <c r="I77" i="29"/>
  <c r="C79" i="29" s="1"/>
  <c r="C82" i="29" s="1"/>
  <c r="D29" i="62" s="1"/>
  <c r="H58" i="21"/>
  <c r="I106" i="29" s="1"/>
  <c r="I110" i="29" s="1"/>
  <c r="J92" i="29"/>
  <c r="J95" i="29" s="1"/>
  <c r="G40" i="69"/>
  <c r="G42" i="69" s="1"/>
  <c r="G44" i="69" s="1"/>
  <c r="I34" i="68"/>
  <c r="G8" i="69"/>
  <c r="I8" i="68" l="1"/>
  <c r="I14" i="68" s="1"/>
  <c r="I33" i="68" s="1"/>
  <c r="I35" i="68" s="1"/>
  <c r="H38" i="69"/>
  <c r="H37" i="69"/>
  <c r="H59" i="21"/>
  <c r="H39" i="69"/>
  <c r="H18" i="69"/>
  <c r="H36" i="68"/>
  <c r="H37" i="68" s="1"/>
  <c r="G12" i="69"/>
  <c r="G21" i="69" s="1"/>
  <c r="G47" i="69" s="1"/>
  <c r="D18" i="29"/>
  <c r="D30" i="62"/>
  <c r="H40" i="69" l="1"/>
  <c r="H42" i="69" s="1"/>
  <c r="H44" i="69" s="1"/>
  <c r="E18" i="29"/>
  <c r="D19" i="29"/>
  <c r="H8" i="69"/>
  <c r="I36" i="68" l="1"/>
  <c r="I37" i="68" s="1"/>
  <c r="H12" i="69"/>
  <c r="H21" i="69" s="1"/>
  <c r="H47" i="69" s="1"/>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<sst xmlns="http://schemas.openxmlformats.org/spreadsheetml/2006/main" count="1985" uniqueCount="987">
  <si>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</si>
  <si>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</si>
  <si>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</si>
  <si>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</si>
  <si>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</si>
  <si>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</si>
  <si>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</si>
  <si>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</si>
  <si>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</si>
  <si>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</si>
  <si>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</si>
  <si>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</si>
  <si>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</si>
  <si>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</si>
  <si>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</si>
  <si>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</si>
  <si>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</si>
  <si>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</si>
  <si>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</si>
  <si>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</si>
  <si>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</si>
  <si>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</si>
  <si>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</si>
  <si>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</si>
  <si>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</si>
  <si>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</si>
  <si>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</si>
  <si>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</si>
  <si>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</si>
  <si>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</si>
  <si>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</si>
  <si>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</si>
  <si>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</si>
  <si>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</si>
  <si>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</si>
  <si>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</si>
  <si>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</si>
  <si>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</si>
  <si>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</si>
  <si>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</si>
  <si>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</si>
  <si>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</si>
  <si>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</si>
  <si>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</si>
  <si>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</si>
  <si>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</si>
  <si>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</si>
  <si>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</si>
  <si>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</si>
  <si>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</si>
  <si>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</si>
  <si>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</si>
  <si>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</si>
  <si>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</si>
  <si>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</si>
  <si>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</si>
  <si>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</si>
  <si>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</si>
  <si>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</si>
  <si>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</si>
  <si>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</si>
  <si>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</si>
  <si>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</si>
  <si>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</si>
  <si>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</si>
  <si>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</si>
  <si>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</si>
  <si>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</si>
  <si>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</si>
  <si>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</si>
  <si>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</si>
  <si>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</si>
  <si>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</si>
  <si>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</si>
  <si>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</si>
  <si>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</si>
  <si>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</si>
  <si>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</si>
  <si>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</si>
  <si>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</si>
  <si>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</si>
  <si>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</si>
  <si>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</si>
  <si>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</si>
  <si>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</si>
  <si>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</si>
  <si>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</si>
  <si>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</si>
  <si>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</si>
  <si>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</si>
  <si>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</si>
  <si>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</si>
  <si>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</si>
  <si>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</si>
  <si>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</si>
  <si>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</si>
  <si>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</si>
  <si>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</si>
  <si>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</si>
  <si>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</si>
  <si>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</si>
  <si>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</si>
  <si>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</si>
  <si>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</si>
  <si>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</si>
  <si>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</si>
  <si>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</si>
  <si>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</si>
  <si>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</si>
  <si>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</si>
  <si>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</si>
  <si>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</si>
  <si>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</si>
  <si>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</si>
  <si>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</si>
  <si>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</si>
  <si>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</si>
  <si>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</si>
  <si>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</si>
  <si>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</si>
  <si>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</si>
  <si>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</si>
  <si>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</si>
  <si>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</si>
  <si>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</si>
  <si>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</si>
  <si>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</si>
  <si>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</si>
  <si>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</si>
  <si>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</si>
  <si>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</si>
  <si>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</si>
  <si>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</si>
  <si>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</si>
  <si>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</si>
  <si>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</si>
  <si>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</si>
  <si>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</si>
  <si>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</si>
  <si>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</si>
  <si>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</si>
  <si>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</si>
  <si>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</si>
  <si>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</si>
  <si>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</si>
  <si>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</si>
  <si>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</si>
  <si>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</si>
  <si>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</si>
  <si>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</si>
  <si>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</si>
  <si>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</si>
  <si>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</si>
  <si>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</si>
  <si>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</si>
  <si>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</si>
  <si>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</si>
  <si>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</si>
  <si>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</si>
  <si>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</si>
  <si>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</si>
  <si>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</si>
  <si>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</si>
  <si>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</si>
  <si>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</si>
  <si>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</si>
  <si>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</si>
  <si>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</si>
  <si>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</si>
  <si>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</si>
  <si>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</si>
  <si>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</si>
  <si>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</si>
  <si>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</si>
  <si>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</si>
  <si>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</si>
  <si>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</si>
  <si>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</si>
  <si>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</si>
  <si>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</si>
  <si>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</si>
  <si>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</si>
  <si>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</si>
  <si>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</si>
  <si>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</si>
  <si>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</si>
  <si>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</si>
  <si>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</si>
  <si>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</si>
  <si>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</si>
  <si>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</si>
  <si>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</si>
  <si>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</si>
  <si>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</si>
  <si>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</si>
  <si>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</si>
  <si>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</si>
  <si>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</si>
  <si>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</si>
  <si>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</si>
  <si>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</si>
  <si>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</si>
  <si>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</si>
  <si>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</si>
  <si>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</si>
  <si>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</si>
  <si>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</si>
  <si>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</si>
  <si>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</si>
  <si>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</si>
  <si>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</si>
  <si>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</si>
  <si>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</si>
  <si>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</si>
  <si>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</si>
  <si>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</si>
  <si>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</si>
  <si>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</si>
  <si>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</si>
  <si>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</si>
  <si>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</si>
  <si>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</si>
  <si>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</si>
  <si>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</si>
  <si>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</si>
  <si>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</si>
  <si>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</si>
  <si>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</si>
  <si>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</si>
  <si>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</si>
  <si>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</si>
  <si>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</si>
  <si>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</si>
  <si>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</si>
  <si>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</si>
  <si>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</si>
  <si>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</si>
  <si>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</si>
  <si>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</si>
  <si>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</si>
  <si>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</si>
  <si>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</si>
  <si>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</si>
  <si>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</si>
  <si>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</si>
  <si>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</si>
  <si>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</si>
  <si>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</si>
  <si>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</si>
  <si>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</si>
  <si>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</si>
  <si>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</si>
  <si>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</si>
  <si>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</si>
  <si>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</si>
  <si>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</si>
  <si>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</si>
  <si>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</si>
  <si>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</si>
  <si>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</si>
  <si>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</si>
  <si>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</si>
  <si>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</si>
  <si>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</si>
  <si>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</si>
  <si>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</si>
  <si>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</si>
  <si>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</si>
  <si>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</si>
  <si>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</si>
  <si>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</si>
  <si>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</si>
  <si>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</si>
  <si>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</si>
  <si>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</si>
  <si>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</si>
  <si>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</si>
  <si>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</si>
  <si>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</si>
  <si>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</si>
  <si>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</si>
  <si>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</si>
  <si>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</si>
  <si>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</si>
  <si>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</si>
  <si>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</si>
  <si>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</si>
  <si>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</si>
  <si>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</si>
  <si>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</si>
  <si>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</si>
  <si>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</si>
  <si>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</si>
  <si>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</si>
  <si>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</si>
  <si>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</si>
  <si>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</si>
  <si>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</si>
  <si>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</si>
  <si>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</si>
  <si>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</si>
  <si>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</si>
  <si>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</si>
  <si>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</si>
  <si>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</si>
  <si>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</si>
  <si>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</si>
  <si>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</si>
  <si>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</si>
  <si>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</si>
  <si>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</si>
  <si>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</si>
  <si>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</si>
  <si>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</si>
  <si>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</si>
  <si>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</si>
  <si>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</si>
  <si>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</si>
  <si>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</si>
  <si>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</si>
  <si>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</si>
  <si>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</si>
  <si>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</si>
  <si>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</si>
  <si>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</si>
  <si>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</si>
  <si>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</si>
  <si>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</si>
  <si>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</si>
  <si>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</si>
  <si>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</si>
  <si>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</si>
  <si>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</si>
  <si>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</si>
  <si>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</si>
  <si>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</si>
  <si>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</si>
  <si>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</si>
  <si>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</si>
  <si>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</si>
  <si>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</si>
  <si>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</si>
  <si>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</si>
  <si>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</si>
  <si>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</si>
  <si>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</si>
  <si>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</si>
  <si>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</si>
  <si>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</si>
  <si>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</si>
  <si>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</si>
  <si>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</si>
  <si>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</si>
  <si>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</si>
  <si>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</si>
  <si>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</si>
  <si>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</si>
  <si>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</si>
  <si>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</si>
  <si>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</si>
  <si>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</si>
  <si>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</si>
  <si>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</si>
  <si>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</si>
  <si>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</si>
  <si>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</si>
  <si>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</si>
  <si>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</si>
  <si>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</si>
  <si>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</si>
  <si>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</si>
  <si>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</si>
  <si>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</si>
  <si>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</si>
  <si>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</si>
  <si>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</si>
  <si>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</si>
  <si>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</si>
  <si>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</si>
  <si>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</si>
  <si>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</si>
  <si>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</si>
  <si>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</si>
  <si>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</si>
  <si>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</si>
  <si>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</si>
  <si>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</si>
  <si>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</si>
  <si>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</si>
  <si>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</si>
  <si>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</si>
  <si>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</si>
  <si>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</si>
  <si>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</si>
  <si>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</si>
  <si>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</si>
  <si>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</si>
  <si>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</si>
  <si>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</si>
  <si>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</si>
  <si>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</si>
  <si>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</si>
  <si>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</si>
  <si>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</si>
  <si>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</si>
  <si>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</si>
  <si>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</si>
  <si>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</si>
  <si>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</si>
  <si>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</si>
  <si>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</si>
  <si>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</si>
  <si>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</si>
  <si>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</si>
  <si>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</si>
  <si>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</si>
  <si>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</si>
  <si>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</si>
  <si>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</si>
  <si>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</si>
  <si>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</si>
  <si>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</si>
  <si>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</si>
  <si>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</si>
  <si>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</si>
  <si>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</si>
  <si>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</si>
  <si>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</si>
  <si>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</si>
  <si>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</si>
  <si>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</si>
  <si>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</si>
  <si>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</si>
  <si>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</si>
  <si>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</si>
  <si>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</si>
  <si>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</si>
  <si>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</si>
  <si>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</si>
  <si>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</si>
  <si>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</si>
  <si>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</si>
  <si>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</si>
  <si>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</si>
  <si>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</si>
  <si>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</si>
  <si>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</si>
  <si>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</si>
  <si>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</si>
  <si>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</si>
  <si>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</si>
  <si>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</si>
  <si>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</si>
  <si>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</si>
  <si>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</si>
  <si>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</si>
  <si>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</si>
  <si>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</si>
  <si>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</si>
  <si>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</si>
  <si>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</si>
  <si>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</si>
  <si>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</si>
  <si>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</si>
  <si>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</si>
  <si>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</si>
  <si>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</si>
  <si>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</si>
  <si>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</si>
  <si>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</si>
  <si>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</si>
  <si>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</si>
  <si>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</si>
  <si>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</si>
  <si>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</si>
  <si>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</si>
  <si>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</si>
  <si>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</si>
  <si>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Chilli</t>
  </si>
  <si>
    <t>Pomegranate</t>
  </si>
  <si>
    <t>Total No.of Members  Cultivating F &amp; V</t>
  </si>
  <si>
    <t>Total No.of Non-members  Cultivating F &amp; V</t>
  </si>
  <si>
    <t>Total No.of Members Cultivating Grain Crops</t>
  </si>
  <si>
    <t>Total No.of Non- members Cultivating Grain Crops</t>
  </si>
  <si>
    <t>Average Land Holding  per Member (Acres)</t>
  </si>
  <si>
    <t>Area Under Vegetables in Rabbi Season ( In Acres)</t>
  </si>
  <si>
    <t>Area Under Vegetables in Summer Season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</si>
  <si>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</si>
  <si>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</si>
  <si>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</si>
  <si>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</si>
  <si>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</si>
  <si>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</si>
  <si>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</si>
  <si>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</si>
  <si>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</si>
  <si>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</si>
  <si>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</si>
  <si>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</si>
  <si>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</si>
  <si>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</si>
  <si>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</si>
  <si>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</si>
  <si>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</si>
  <si>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</si>
  <si>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</si>
  <si>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</si>
  <si>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</si>
  <si>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</si>
  <si>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</si>
  <si>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</si>
  <si>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</si>
  <si>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</si>
  <si>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</si>
  <si>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</si>
  <si>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</si>
  <si>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</si>
  <si>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</si>
  <si>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</si>
  <si>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</si>
  <si>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</si>
  <si>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</si>
  <si>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</si>
  <si>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</si>
  <si>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</si>
  <si>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</si>
  <si>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</si>
  <si>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</si>
  <si>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</si>
  <si>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</si>
  <si>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</si>
  <si>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</si>
  <si>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</si>
  <si>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</si>
  <si>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</si>
  <si>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</si>
  <si>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</si>
  <si>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</si>
  <si>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</si>
  <si>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</si>
  <si>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</si>
  <si>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</si>
  <si>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</si>
  <si>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</si>
  <si>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</si>
  <si>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</si>
  <si>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</si>
  <si>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</si>
  <si>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</si>
  <si>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</si>
  <si>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</si>
  <si>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</si>
  <si>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</si>
  <si>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</si>
  <si>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</si>
  <si>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</si>
  <si>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</si>
  <si>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</si>
  <si>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</si>
  <si>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</si>
  <si>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</si>
  <si>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</si>
  <si>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</si>
  <si>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</si>
  <si>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</si>
  <si>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</si>
  <si>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</si>
  <si>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</si>
  <si>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</si>
  <si>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</si>
  <si>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</si>
  <si>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</si>
  <si>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</si>
  <si>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</si>
  <si>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</si>
  <si>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</si>
  <si>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</si>
  <si>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</si>
  <si>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</si>
  <si>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</si>
  <si>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</si>
  <si>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</si>
  <si>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</si>
  <si>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</si>
  <si>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</si>
  <si>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</si>
  <si>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</si>
  <si>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</si>
  <si>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</si>
  <si>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</si>
  <si>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</si>
  <si>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</si>
  <si>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</si>
  <si>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</si>
  <si>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</si>
  <si>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</si>
  <si>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</si>
  <si>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</si>
  <si>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</si>
  <si>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</si>
  <si>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</si>
  <si>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</si>
  <si>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</si>
  <si>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</si>
  <si>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</si>
  <si>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</si>
  <si>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</si>
  <si>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</si>
  <si>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</si>
  <si>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</si>
  <si>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</si>
  <si>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</si>
  <si>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</si>
  <si>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</si>
  <si>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</si>
  <si>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</si>
  <si>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</si>
  <si>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</si>
  <si>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</si>
  <si>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</si>
  <si>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</si>
  <si>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</si>
  <si>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</si>
  <si>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</si>
  <si>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</si>
  <si>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</si>
  <si>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</si>
  <si>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</si>
  <si>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</si>
  <si>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</si>
  <si>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</si>
  <si>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</si>
  <si>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</si>
  <si>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</si>
  <si>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</si>
  <si>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</si>
  <si>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</si>
  <si>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</si>
  <si>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</si>
  <si>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</si>
  <si>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</si>
  <si>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</si>
  <si>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</si>
  <si>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</si>
  <si>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</si>
  <si>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</si>
  <si>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</si>
  <si>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</si>
  <si>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</si>
  <si>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</si>
  <si>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</si>
  <si>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</si>
  <si>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</si>
  <si>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</si>
  <si>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</si>
  <si>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</si>
  <si>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</si>
  <si>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</si>
  <si>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</si>
  <si>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</si>
  <si>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</si>
  <si>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</si>
  <si>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</si>
  <si>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</si>
  <si>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</si>
  <si>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</si>
  <si>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</si>
  <si>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</si>
  <si>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</si>
  <si>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</si>
  <si>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</si>
  <si>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</si>
  <si>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</si>
  <si>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</si>
  <si>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</si>
  <si>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</si>
  <si>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</si>
  <si>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</si>
  <si>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</si>
  <si>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</si>
  <si>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</si>
  <si>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</si>
  <si>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</si>
  <si>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</si>
  <si>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</si>
  <si>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</si>
  <si>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</si>
  <si>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</si>
  <si>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</si>
  <si>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</si>
  <si>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</si>
  <si>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</si>
  <si>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</si>
  <si>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</si>
  <si>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</si>
  <si>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</si>
  <si>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</si>
  <si>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</si>
  <si>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</si>
  <si>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</si>
  <si>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</si>
  <si>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</si>
  <si>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</si>
  <si>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</si>
  <si>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</si>
  <si>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</si>
  <si>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</si>
  <si>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</si>
  <si>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</si>
  <si>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</si>
  <si>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</si>
  <si>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</si>
  <si>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</si>
  <si>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</si>
  <si>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</si>
  <si>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</si>
  <si>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</si>
  <si>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</si>
  <si>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</si>
  <si>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</si>
  <si>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</si>
  <si>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</si>
  <si>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</si>
  <si>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</si>
  <si>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</si>
  <si>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</si>
  <si>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</si>
  <si>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</si>
  <si>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</si>
  <si>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</si>
  <si>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</si>
  <si>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</si>
  <si>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</si>
  <si>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</si>
  <si>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</si>
  <si>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</si>
  <si>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</si>
  <si>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</si>
  <si>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</si>
  <si>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</si>
  <si>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</si>
  <si>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</si>
  <si>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</si>
  <si>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</si>
  <si>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</si>
  <si>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</si>
  <si>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</si>
  <si>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</si>
  <si>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</si>
  <si>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</si>
  <si>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</si>
  <si>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</si>
  <si>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</si>
  <si>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</si>
  <si>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</si>
  <si>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</si>
  <si>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</si>
  <si>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</si>
  <si>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</si>
  <si>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</si>
  <si>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</si>
  <si>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</si>
  <si>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</si>
  <si>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</si>
  <si>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</si>
  <si>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</si>
  <si>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</si>
  <si>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</si>
  <si>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</si>
  <si>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</si>
  <si>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</si>
  <si>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</si>
  <si>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</si>
  <si>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</si>
  <si>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</si>
  <si>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</si>
  <si>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</si>
  <si>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</si>
  <si>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</si>
  <si>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</si>
  <si>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</si>
  <si>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</si>
  <si>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</si>
  <si>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</si>
  <si>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</si>
  <si>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</si>
  <si>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</si>
  <si>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</si>
  <si>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</si>
  <si>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</si>
  <si>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</si>
  <si>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</si>
  <si>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</si>
  <si>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</si>
  <si>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</si>
  <si>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</si>
  <si>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</si>
  <si>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</si>
  <si>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</si>
  <si>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</si>
  <si>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</si>
  <si>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</si>
  <si>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</si>
  <si>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</si>
  <si>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</si>
  <si>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</si>
  <si>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</si>
  <si>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</si>
  <si>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</si>
  <si>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</si>
  <si>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</si>
  <si>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</si>
  <si>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</si>
  <si>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</si>
  <si>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</si>
  <si>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</si>
  <si>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</si>
  <si>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</si>
  <si>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</si>
  <si>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</si>
  <si>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</si>
  <si>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</si>
  <si>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</si>
  <si>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</si>
  <si>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</si>
  <si>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</si>
  <si>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</si>
  <si>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</si>
  <si>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</si>
  <si>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</si>
  <si>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</si>
  <si>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</si>
  <si>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</si>
  <si>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</si>
  <si>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</si>
  <si>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</si>
  <si>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</si>
  <si>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</si>
  <si>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</si>
  <si>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</si>
  <si>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</si>
  <si>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</si>
  <si>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</si>
  <si>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</si>
  <si>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</si>
  <si>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</si>
  <si>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</si>
  <si>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</si>
  <si>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</si>
  <si>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</si>
  <si>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</si>
  <si>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</si>
  <si>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</si>
  <si>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</si>
  <si>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</si>
  <si>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</si>
  <si>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</si>
  <si>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</si>
  <si>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</si>
  <si>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</si>
  <si>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</si>
  <si>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</si>
  <si>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</si>
  <si>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</si>
  <si>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</si>
  <si>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</si>
  <si>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</si>
  <si>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</si>
  <si>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</si>
  <si>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</si>
  <si>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</si>
  <si>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</si>
  <si>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</si>
  <si>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</si>
  <si>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</si>
  <si>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</si>
  <si>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</si>
  <si>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</si>
  <si>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</si>
  <si>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</si>
  <si>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</si>
  <si>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</si>
  <si>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</si>
  <si>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</si>
  <si>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</si>
  <si>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</si>
  <si>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</si>
  <si>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</si>
  <si>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</si>
  <si>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</si>
  <si>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</si>
  <si>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</si>
  <si>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</si>
  <si>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</si>
  <si>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</si>
  <si>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</si>
  <si>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</si>
  <si>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</si>
  <si>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</si>
  <si>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</si>
  <si>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</si>
  <si>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</si>
  <si>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</si>
  <si>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</si>
  <si>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</si>
  <si>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</si>
  <si>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</si>
  <si>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</si>
  <si>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</si>
  <si>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</si>
  <si>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</si>
  <si>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</si>
  <si>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</si>
  <si>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</si>
  <si>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</si>
  <si>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</si>
  <si>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</si>
  <si>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</si>
  <si>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</si>
  <si>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</si>
  <si>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</si>
  <si>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</si>
  <si>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Grains Grading processed per day (MT)</t>
  </si>
  <si>
    <t>No of days of opertaion (Captive Operations)
Cleaning Grading</t>
  </si>
  <si>
    <t>Captive Operations Grade Output - Grade II Moong(MT)</t>
  </si>
  <si>
    <t>Captive Operations Grade Output -Grade II Udad(MT)</t>
  </si>
  <si>
    <t>Captive Operations Grade Output -Grade II Tur(MT)</t>
  </si>
  <si>
    <t>Husk/ Cattle Feed</t>
  </si>
  <si>
    <t>Sq. Mt</t>
  </si>
  <si>
    <t>Total Input (Paddy) (MT)</t>
  </si>
  <si>
    <t>Captive Operations Grade Output (Paddy)(MT)</t>
  </si>
  <si>
    <t>Captive Operations Grade Output -Grade II Paddy(MT)</t>
  </si>
  <si>
    <t>Paddy Dal</t>
  </si>
  <si>
    <t>Finished Goods  -Paddy (MT)</t>
  </si>
  <si>
    <t>Finished Goods  -Paddy Dal (MT)</t>
  </si>
  <si>
    <t>Paddy</t>
  </si>
  <si>
    <t xml:space="preserve">Rice </t>
  </si>
  <si>
    <t xml:space="preserve">Husk </t>
  </si>
  <si>
    <t>Boken</t>
  </si>
  <si>
    <t>Fully Automatic Rice Mill</t>
  </si>
  <si>
    <t>4 TPH</t>
  </si>
  <si>
    <t>145 KVA power Chart</t>
  </si>
  <si>
    <t>Warehouse Expenses</t>
  </si>
  <si>
    <t>Fumigation Expenses</t>
  </si>
  <si>
    <t>Licensing Expenses</t>
  </si>
  <si>
    <t>Local Taxes</t>
  </si>
  <si>
    <t>Fixed Electricity</t>
  </si>
  <si>
    <t>3A</t>
  </si>
  <si>
    <t>3B</t>
  </si>
  <si>
    <t>Godown</t>
  </si>
  <si>
    <t>Godown Capacity</t>
  </si>
  <si>
    <t>MT/ Month</t>
  </si>
  <si>
    <t>Half Year</t>
  </si>
  <si>
    <t>Per Year</t>
  </si>
  <si>
    <t>Per Ton</t>
  </si>
  <si>
    <t>Weigh Bridge</t>
  </si>
  <si>
    <t>80TON</t>
  </si>
  <si>
    <t>4Tph</t>
  </si>
  <si>
    <t>Machine Shed</t>
  </si>
  <si>
    <t>Captive Operations ( Rice Milling)</t>
  </si>
  <si>
    <t>Grain Crop Production Details</t>
  </si>
  <si>
    <t>Facility 2 - Grain Processing Unit - Rice Mill</t>
  </si>
  <si>
    <t>13.2 Activity 6 - Profit and loss of F &amp; V Processing Unit</t>
  </si>
  <si>
    <t>1 Day As per CS Schedule</t>
  </si>
  <si>
    <t>Faclitiy 2 - Processing Unit- Rice Mill</t>
  </si>
  <si>
    <t>Transformer 200KVA</t>
  </si>
  <si>
    <t>200 KVA</t>
  </si>
  <si>
    <t>Combine Harvestor</t>
  </si>
  <si>
    <t>Processing Unit - Rice Mill</t>
  </si>
  <si>
    <t>Qty</t>
  </si>
  <si>
    <t>100% capacity</t>
  </si>
  <si>
    <t>Charges per Acre</t>
  </si>
  <si>
    <t>Unit for charging rent</t>
  </si>
  <si>
    <t>Revenue (Rs. Per lakh)</t>
  </si>
  <si>
    <t>Machine</t>
  </si>
  <si>
    <t>(Acre)</t>
  </si>
  <si>
    <t>C.U.</t>
  </si>
  <si>
    <t>per Acre</t>
  </si>
  <si>
    <t>Harvestor Charges</t>
  </si>
  <si>
    <t>Harvester - Ashok Leyland 1.5/ Acre</t>
  </si>
  <si>
    <t>Tractor</t>
  </si>
  <si>
    <t>Trolly</t>
  </si>
  <si>
    <t>Solar</t>
  </si>
  <si>
    <t>20 KW</t>
  </si>
  <si>
    <t>60% reserved for JW Services</t>
  </si>
  <si>
    <t>40 % reserved for Captive operations</t>
  </si>
  <si>
    <t>Appropriation 45% for Investment reserve ( Distribution of Dividend and Bonus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</si>
</sst>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9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sz val="11"/>
      <color rgb="FF000000"/>
      <name val="Arial"/>
      <family val="2"/>
    </font>
    <font>
      <b/>
      <sz val="11"/>
      <color rgb="FF000000"/>
      <name val="Arial"/>
      <family val="2"/>
    </font>
  </fonts>
  <fills count="19">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5A278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83">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9" fontId="69" fillId="15" borderId="0" xfId="0" applyNumberFormat="1" applyFont="1" applyFill="1"/>
    <xf numFmtId="10" fontId="69" fillId="15" borderId="0" xfId="1" applyNumberFormat="1" applyFont="1" applyFill="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64" fontId="0" fillId="0" borderId="0" xfId="2" applyFont="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NumberFormat="1" applyFont="1"/>
    <xf numFmtId="1" fontId="70" fillId="0" borderId="1" xfId="0" applyNumberFormat="1" applyFont="1" applyBorder="1"/>
    <xf numFmtId="10" fontId="4" fillId="0" borderId="1" xfId="1" applyNumberFormat="1" applyFont="1" applyBorder="1"/>
    <xf numFmtId="9" fontId="27" fillId="0" borderId="0" xfId="0" applyNumberFormat="1" applyFont="1" applyFill="1"/>
    <xf numFmtId="0" fontId="27" fillId="0" borderId="0" xfId="0" applyNumberFormat="1" applyFont="1" applyFill="1"/>
    <xf numFmtId="10" fontId="44" fillId="0" borderId="1" xfId="1" applyNumberFormat="1" applyFont="1" applyBorder="1" applyAlignment="1">
      <alignment horizontal="center" vertical="center" wrapText="1"/>
    </xf>
    <xf numFmtId="0" fontId="2" fillId="0" borderId="0" xfId="0" applyFont="1" applyAlignment="1">
      <alignment horizontal="center" wrapText="1"/>
    </xf>
    <xf numFmtId="0" fontId="42" fillId="6" borderId="1" xfId="0" applyFont="1" applyFill="1" applyBorder="1" applyAlignment="1">
      <alignment horizontal="center" vertical="center" wrapText="1"/>
    </xf>
    <xf numFmtId="0" fontId="73" fillId="18" borderId="24" xfId="0" applyFont="1" applyFill="1" applyBorder="1" applyAlignment="1">
      <alignment horizontal="center" wrapText="1"/>
    </xf>
    <xf numFmtId="0" fontId="73" fillId="18" borderId="11" xfId="0" applyFont="1" applyFill="1" applyBorder="1" applyAlignment="1">
      <alignment horizontal="center" wrapText="1"/>
    </xf>
    <xf numFmtId="0" fontId="73" fillId="18" borderId="2" xfId="0" applyFont="1" applyFill="1" applyBorder="1" applyAlignment="1">
      <alignment horizontal="center" wrapText="1"/>
    </xf>
    <xf numFmtId="0" fontId="73" fillId="18" borderId="12" xfId="0" applyFont="1" applyFill="1" applyBorder="1" applyAlignment="1">
      <alignment horizontal="center" wrapText="1"/>
    </xf>
    <xf numFmtId="0" fontId="73" fillId="18" borderId="14" xfId="0" applyFont="1" applyFill="1" applyBorder="1" applyAlignment="1">
      <alignment horizontal="center" wrapText="1"/>
    </xf>
    <xf numFmtId="0" fontId="73" fillId="18" borderId="25"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26" fillId="0" borderId="0" xfId="0" applyFont="1" applyAlignment="1">
      <alignment horizontal="center" wrapText="1"/>
    </xf>
    <xf numFmtId="0" fontId="27" fillId="0" borderId="0" xfId="0" applyFont="1" applyAlignment="1">
      <alignment wrapText="1"/>
    </xf>
    <xf numFmtId="0" fontId="68" fillId="0" borderId="1" xfId="0" applyFont="1" applyBorder="1" applyAlignment="1">
      <alignment wrapText="1"/>
    </xf>
    <xf numFmtId="0" fontId="56" fillId="0" borderId="1" xfId="0" applyFont="1" applyBorder="1" applyAlignment="1">
      <alignment wrapText="1"/>
    </xf>
    <xf numFmtId="170" fontId="56" fillId="0" borderId="1" xfId="2" applyNumberFormat="1" applyFont="1" applyBorder="1" applyAlignment="1">
      <alignment wrapText="1"/>
    </xf>
    <xf numFmtId="0" fontId="69" fillId="15" borderId="1" xfId="0" applyFont="1" applyFill="1" applyBorder="1" applyAlignment="1">
      <alignment wrapText="1"/>
    </xf>
    <xf numFmtId="0" fontId="70" fillId="15" borderId="1" xfId="0" applyFont="1" applyFill="1" applyBorder="1" applyAlignment="1">
      <alignment wrapText="1"/>
    </xf>
    <xf numFmtId="0" fontId="56" fillId="15" borderId="1" xfId="0" applyFont="1" applyFill="1" applyBorder="1" applyAlignment="1">
      <alignment wrapText="1"/>
    </xf>
    <xf numFmtId="0" fontId="72" fillId="15" borderId="1" xfId="0" applyFont="1" applyFill="1" applyBorder="1" applyAlignment="1">
      <alignment wrapText="1"/>
    </xf>
    <xf numFmtId="0" fontId="28" fillId="0" borderId="0" xfId="0" applyFont="1" applyAlignment="1">
      <alignment horizontal="center" wrapText="1"/>
    </xf>
    <xf numFmtId="170" fontId="27" fillId="0" borderId="1" xfId="2" applyNumberFormat="1" applyFont="1" applyFill="1" applyBorder="1" applyAlignment="1">
      <alignment wrapText="1"/>
    </xf>
    <xf numFmtId="170" fontId="27" fillId="0" borderId="1" xfId="2" applyNumberFormat="1" applyFont="1" applyBorder="1" applyAlignment="1">
      <alignment wrapText="1"/>
    </xf>
    <xf numFmtId="0" fontId="28" fillId="0" borderId="0" xfId="0" applyFont="1" applyAlignment="1">
      <alignment wrapText="1"/>
    </xf>
    <xf numFmtId="0" fontId="85" fillId="13" borderId="13" xfId="0" applyFont="1" applyFill="1" applyBorder="1" applyAlignment="1">
      <alignment wrapText="1"/>
    </xf>
    <xf numFmtId="0" fontId="73" fillId="0" borderId="1" xfId="0" applyFont="1" applyFill="1" applyBorder="1" applyAlignment="1">
      <alignment horizontal="center"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81" fillId="2" borderId="1" xfId="0" applyFont="1" applyFill="1" applyBorder="1" applyAlignment="1">
      <alignment wrapText="1"/>
    </xf>
    <xf numFmtId="0" fontId="75" fillId="12" borderId="1" xfId="0" applyFont="1" applyFill="1" applyBorder="1" applyAlignment="1">
      <alignment horizontal="center" wrapText="1"/>
    </xf>
    <xf numFmtId="0" fontId="70" fillId="0" borderId="1" xfId="0" applyFont="1" applyFill="1" applyBorder="1" applyAlignment="1">
      <alignment horizontal="left" wrapText="1"/>
    </xf>
    <xf numFmtId="0" fontId="69" fillId="0" borderId="1" xfId="0" applyFont="1" applyFill="1" applyBorder="1" applyAlignment="1">
      <alignment horizontal="left" wrapText="1"/>
    </xf>
    <xf numFmtId="0" fontId="69" fillId="0" borderId="1" xfId="0" applyFont="1" applyFill="1" applyBorder="1" applyAlignment="1">
      <alignment wrapText="1"/>
    </xf>
    <xf numFmtId="0" fontId="82" fillId="14" borderId="0" xfId="0" applyFont="1" applyFill="1" applyAlignment="1">
      <alignment wrapText="1"/>
    </xf>
    <xf numFmtId="0" fontId="71" fillId="14" borderId="1" xfId="0" applyFont="1" applyFill="1" applyBorder="1" applyAlignment="1">
      <alignment wrapText="1"/>
    </xf>
    <xf numFmtId="0" fontId="83" fillId="14" borderId="0" xfId="0" applyFont="1" applyFill="1" applyAlignment="1">
      <alignment wrapText="1"/>
    </xf>
    <xf numFmtId="0" fontId="2" fillId="0" borderId="0" xfId="0" applyFont="1" applyAlignment="1">
      <alignment wrapText="1"/>
    </xf>
    <xf numFmtId="0" fontId="84" fillId="14" borderId="0" xfId="0" applyFont="1" applyFill="1" applyAlignment="1">
      <alignment wrapText="1"/>
    </xf>
    <xf numFmtId="0" fontId="73" fillId="12" borderId="1" xfId="0" applyFont="1" applyFill="1" applyBorder="1" applyAlignment="1">
      <alignment horizontal="center" wrapText="1"/>
    </xf>
    <xf numFmtId="0" fontId="0" fillId="0" borderId="1" xfId="0" applyBorder="1" applyAlignment="1">
      <alignment wrapText="1"/>
    </xf>
    <xf numFmtId="0" fontId="89" fillId="0" borderId="8" xfId="0" applyFont="1" applyBorder="1" applyAlignment="1">
      <alignment horizontal="right" vertical="center" wrapText="1"/>
    </xf>
    <xf numFmtId="0" fontId="90" fillId="0" borderId="9" xfId="0" applyFont="1" applyBorder="1" applyAlignment="1">
      <alignment horizontal="right" vertical="center" wrapText="1"/>
    </xf>
    <xf numFmtId="0" fontId="89" fillId="0" borderId="9" xfId="0" applyFont="1" applyBorder="1" applyAlignment="1">
      <alignment horizontal="right" vertical="center" wrapText="1"/>
    </xf>
    <xf numFmtId="170" fontId="0" fillId="0" borderId="1"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26" fillId="0" borderId="0" xfId="0" applyFont="1" applyFill="1" applyBorder="1" applyAlignment="1">
      <alignment horizontal="center"/>
    </xf>
    <xf numFmtId="0" fontId="73" fillId="18" borderId="2" xfId="0" applyFont="1" applyFill="1" applyBorder="1" applyAlignment="1">
      <alignment horizontal="center" wrapText="1"/>
    </xf>
    <xf numFmtId="0" fontId="73" fillId="18" borderId="14" xfId="0" applyFont="1" applyFill="1" applyBorder="1" applyAlignment="1">
      <alignment horizontal="center" wrapText="1"/>
    </xf>
    <xf numFmtId="0" fontId="73" fillId="18" borderId="15" xfId="0" applyFont="1" applyFill="1" applyBorder="1" applyAlignment="1">
      <alignment horizontal="center" wrapText="1"/>
    </xf>
    <xf numFmtId="0" fontId="73" fillId="18"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308" customWidth="1"/>
    <col min="2" max="2" width="56" style="308" customWidth="1"/>
    <col min="3" max="3" width="26.28515625" style="308" customWidth="1"/>
    <col min="4" max="4" width="20.7109375" style="308" customWidth="1"/>
    <col min="5" max="5" width="29.42578125" style="308" customWidth="1"/>
    <col min="6" max="16384" width="9.140625" style="308"/>
  </cols>
  <sheetData>
    <row r="1" spans="1:5" ht="26.25" customHeight="1">
      <c r="A1" s="682" t="s">
        <v>614</v>
      </c>
      <c r="B1" s="682"/>
      <c r="C1" s="682"/>
      <c r="D1" s="682"/>
      <c r="E1" s="682"/>
    </row>
    <row r="2" spans="1:5" ht="26.25" customHeight="1">
      <c r="A2" s="683" t="s">
        <v>610</v>
      </c>
      <c r="B2" s="683"/>
      <c r="C2" s="683"/>
      <c r="D2" s="683"/>
      <c r="E2" s="683"/>
    </row>
    <row r="3" spans="1:5" ht="23.25" customHeight="1">
      <c r="A3" s="684" t="s">
        <v>581</v>
      </c>
      <c r="B3" s="684"/>
      <c r="C3" s="684"/>
      <c r="D3" s="684"/>
      <c r="E3" s="684"/>
    </row>
    <row r="4" spans="1:5" ht="240.75" customHeight="1">
      <c r="A4" s="685" t="s">
        <v>615</v>
      </c>
      <c r="B4" s="685"/>
      <c r="C4" s="685"/>
      <c r="D4" s="685"/>
      <c r="E4" s="685"/>
    </row>
    <row r="5" spans="1:5" ht="23.25" customHeight="1">
      <c r="A5" s="684" t="s">
        <v>582</v>
      </c>
      <c r="B5" s="684"/>
      <c r="C5" s="684"/>
      <c r="D5" s="684"/>
      <c r="E5" s="684"/>
    </row>
    <row r="6" spans="1:5" ht="108" customHeight="1">
      <c r="A6" s="692" t="s">
        <v>653</v>
      </c>
      <c r="B6" s="693"/>
      <c r="C6" s="693"/>
      <c r="D6" s="693"/>
      <c r="E6" s="694"/>
    </row>
    <row r="7" spans="1:5" ht="23.25" customHeight="1">
      <c r="A7" s="695" t="s">
        <v>616</v>
      </c>
      <c r="B7" s="695"/>
      <c r="C7" s="695"/>
      <c r="D7" s="695"/>
      <c r="E7" s="695"/>
    </row>
    <row r="8" spans="1:5" ht="125.25" customHeight="1">
      <c r="A8" s="685" t="s">
        <v>652</v>
      </c>
      <c r="B8" s="685"/>
      <c r="C8" s="685"/>
      <c r="D8" s="685"/>
      <c r="E8" s="685"/>
    </row>
    <row r="9" spans="1:5" ht="23.25">
      <c r="A9" s="684" t="s">
        <v>607</v>
      </c>
      <c r="B9" s="684"/>
      <c r="C9" s="684"/>
      <c r="D9" s="684"/>
      <c r="E9" s="684"/>
    </row>
    <row r="10" spans="1:5">
      <c r="A10" s="308" t="s">
        <v>583</v>
      </c>
      <c r="B10" s="308" t="s">
        <v>146</v>
      </c>
    </row>
    <row r="11" spans="1:5" ht="20.25" customHeight="1">
      <c r="A11" s="312"/>
      <c r="B11" s="696" t="s">
        <v>392</v>
      </c>
      <c r="C11" s="697"/>
      <c r="D11" s="697"/>
      <c r="E11" s="698"/>
    </row>
    <row r="12" spans="1:5">
      <c r="A12" s="313"/>
      <c r="B12" s="686" t="s">
        <v>393</v>
      </c>
      <c r="C12" s="686"/>
      <c r="D12" s="686"/>
      <c r="E12" s="686"/>
    </row>
    <row r="13" spans="1:5" s="315" customFormat="1">
      <c r="A13" s="687"/>
      <c r="B13" s="687"/>
      <c r="C13" s="687"/>
      <c r="D13" s="687"/>
      <c r="E13" s="688"/>
    </row>
    <row r="14" spans="1:5" ht="23.25">
      <c r="A14" s="684" t="s">
        <v>608</v>
      </c>
      <c r="B14" s="684"/>
      <c r="C14" s="684"/>
      <c r="D14" s="684"/>
      <c r="E14" s="684"/>
    </row>
    <row r="15" spans="1:5">
      <c r="A15" s="309" t="s">
        <v>579</v>
      </c>
      <c r="B15" s="309" t="s">
        <v>617</v>
      </c>
      <c r="C15" s="309" t="s">
        <v>445</v>
      </c>
      <c r="D15" s="309" t="s">
        <v>587</v>
      </c>
      <c r="E15" s="309" t="s">
        <v>580</v>
      </c>
    </row>
    <row r="16" spans="1:5">
      <c r="A16" s="316" t="s">
        <v>168</v>
      </c>
      <c r="B16" s="316" t="s">
        <v>618</v>
      </c>
      <c r="C16" s="316"/>
      <c r="D16" s="316"/>
      <c r="E16" s="316"/>
    </row>
    <row r="17" spans="1:5" ht="60">
      <c r="A17" s="317" t="s">
        <v>597</v>
      </c>
      <c r="B17" s="310" t="s">
        <v>604</v>
      </c>
      <c r="C17" s="310" t="s">
        <v>649</v>
      </c>
      <c r="D17" s="310" t="s">
        <v>619</v>
      </c>
      <c r="E17" s="310"/>
    </row>
    <row r="18" spans="1:5" ht="90">
      <c r="A18" s="317" t="s">
        <v>598</v>
      </c>
      <c r="B18" s="310" t="s">
        <v>584</v>
      </c>
      <c r="C18" s="310" t="s">
        <v>650</v>
      </c>
      <c r="D18" s="310" t="s">
        <v>620</v>
      </c>
      <c r="E18" s="310"/>
    </row>
    <row r="19" spans="1:5" ht="26.25" customHeight="1">
      <c r="A19" s="317" t="s">
        <v>599</v>
      </c>
      <c r="B19" s="311" t="s">
        <v>611</v>
      </c>
      <c r="C19" s="310" t="s">
        <v>621</v>
      </c>
      <c r="D19" s="310" t="s">
        <v>622</v>
      </c>
      <c r="E19" s="310" t="s">
        <v>609</v>
      </c>
    </row>
    <row r="20" spans="1:5" ht="30">
      <c r="A20" s="317" t="s">
        <v>600</v>
      </c>
      <c r="B20" s="310" t="s">
        <v>651</v>
      </c>
      <c r="C20" s="310"/>
      <c r="D20" s="310"/>
      <c r="E20" s="310"/>
    </row>
    <row r="21" spans="1:5">
      <c r="A21" s="310">
        <v>4.0999999999999996</v>
      </c>
      <c r="B21" s="310" t="s">
        <v>591</v>
      </c>
      <c r="C21" s="689" t="s">
        <v>623</v>
      </c>
      <c r="D21" s="310" t="s">
        <v>624</v>
      </c>
      <c r="E21" s="310"/>
    </row>
    <row r="22" spans="1:5" ht="30">
      <c r="A22" s="310">
        <v>4.2</v>
      </c>
      <c r="B22" s="310" t="s">
        <v>595</v>
      </c>
      <c r="C22" s="690"/>
      <c r="D22" s="310" t="s">
        <v>625</v>
      </c>
      <c r="E22" s="310"/>
    </row>
    <row r="23" spans="1:5">
      <c r="A23" s="310">
        <v>4.3</v>
      </c>
      <c r="B23" s="310" t="s">
        <v>592</v>
      </c>
      <c r="C23" s="690"/>
      <c r="D23" s="310" t="s">
        <v>626</v>
      </c>
      <c r="E23" s="310"/>
    </row>
    <row r="24" spans="1:5">
      <c r="A24" s="310">
        <v>4.4000000000000004</v>
      </c>
      <c r="B24" s="310" t="s">
        <v>593</v>
      </c>
      <c r="C24" s="690"/>
      <c r="D24" s="310" t="s">
        <v>627</v>
      </c>
      <c r="E24" s="310"/>
    </row>
    <row r="25" spans="1:5">
      <c r="A25" s="310">
        <v>4.5</v>
      </c>
      <c r="B25" s="310" t="s">
        <v>594</v>
      </c>
      <c r="C25" s="690"/>
      <c r="D25" s="310" t="s">
        <v>628</v>
      </c>
      <c r="E25" s="310"/>
    </row>
    <row r="26" spans="1:5">
      <c r="A26" s="310">
        <v>4.5999999999999996</v>
      </c>
      <c r="B26" s="310" t="s">
        <v>596</v>
      </c>
      <c r="C26" s="691"/>
      <c r="D26" s="310" t="s">
        <v>629</v>
      </c>
      <c r="E26" s="310"/>
    </row>
    <row r="27" spans="1:5" ht="45">
      <c r="A27" s="317" t="s">
        <v>601</v>
      </c>
      <c r="B27" s="310" t="s">
        <v>585</v>
      </c>
      <c r="C27" s="310" t="s">
        <v>630</v>
      </c>
      <c r="D27" s="310" t="s">
        <v>655</v>
      </c>
      <c r="E27" s="310"/>
    </row>
    <row r="28" spans="1:5" ht="60">
      <c r="A28" s="317" t="s">
        <v>602</v>
      </c>
      <c r="B28" s="310" t="s">
        <v>631</v>
      </c>
      <c r="C28" s="310" t="s">
        <v>632</v>
      </c>
      <c r="D28" s="310" t="s">
        <v>633</v>
      </c>
      <c r="E28" s="310"/>
    </row>
    <row r="29" spans="1:5" ht="45">
      <c r="A29" s="317" t="s">
        <v>603</v>
      </c>
      <c r="B29" s="310" t="s">
        <v>586</v>
      </c>
      <c r="C29" s="310" t="s">
        <v>634</v>
      </c>
      <c r="D29" s="310" t="s">
        <v>635</v>
      </c>
      <c r="E29" s="310"/>
    </row>
    <row r="30" spans="1:5">
      <c r="A30" s="316" t="s">
        <v>169</v>
      </c>
      <c r="B30" s="318" t="s">
        <v>636</v>
      </c>
      <c r="C30" s="316"/>
      <c r="D30" s="316"/>
      <c r="E30" s="316"/>
    </row>
    <row r="31" spans="1:5" ht="26.25" customHeight="1">
      <c r="A31" s="319" t="s">
        <v>637</v>
      </c>
      <c r="B31" s="310" t="s">
        <v>588</v>
      </c>
      <c r="C31" s="310"/>
      <c r="D31" s="310" t="s">
        <v>638</v>
      </c>
      <c r="E31" s="310" t="s">
        <v>609</v>
      </c>
    </row>
    <row r="32" spans="1:5">
      <c r="A32" s="319" t="s">
        <v>639</v>
      </c>
      <c r="B32" s="310" t="s">
        <v>589</v>
      </c>
      <c r="C32" s="310"/>
      <c r="D32" s="310" t="s">
        <v>640</v>
      </c>
      <c r="E32" s="310" t="s">
        <v>609</v>
      </c>
    </row>
    <row r="33" spans="1:5">
      <c r="A33" s="319" t="s">
        <v>641</v>
      </c>
      <c r="B33" s="310" t="s">
        <v>590</v>
      </c>
      <c r="C33" s="310"/>
      <c r="D33" s="310" t="s">
        <v>642</v>
      </c>
      <c r="E33" s="310" t="s">
        <v>609</v>
      </c>
    </row>
    <row r="34" spans="1:5" ht="35.25" customHeight="1">
      <c r="A34" s="319" t="s">
        <v>643</v>
      </c>
      <c r="B34" s="310" t="s">
        <v>605</v>
      </c>
      <c r="C34" s="310"/>
      <c r="D34" s="310" t="s">
        <v>644</v>
      </c>
      <c r="E34" s="310" t="s">
        <v>609</v>
      </c>
    </row>
    <row r="35" spans="1:5" ht="35.25" customHeight="1">
      <c r="A35" s="319" t="s">
        <v>645</v>
      </c>
      <c r="B35" s="310" t="s">
        <v>646</v>
      </c>
      <c r="C35" s="310"/>
      <c r="D35" s="310" t="s">
        <v>654</v>
      </c>
      <c r="E35" s="310" t="s">
        <v>609</v>
      </c>
    </row>
    <row r="36" spans="1:5">
      <c r="A36" s="317" t="s">
        <v>647</v>
      </c>
      <c r="B36" s="310" t="s">
        <v>648</v>
      </c>
      <c r="C36" s="310"/>
      <c r="D36" s="310"/>
      <c r="E36" s="310"/>
    </row>
    <row r="37" spans="1:5" ht="21">
      <c r="A37" s="681"/>
      <c r="B37" s="681"/>
      <c r="C37" s="681"/>
      <c r="D37" s="681"/>
      <c r="E37" s="68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81" zoomScale="70" zoomScaleSheetLayoutView="70" workbookViewId="0">
      <selection activeCell="B87" sqref="B87:H91"/>
    </sheetView>
  </sheetViews>
  <sheetFormatPr defaultRowHeight="15"/>
  <cols>
    <col min="1" max="1" width="30.140625" customWidth="1"/>
    <col min="2" max="2" width="11.140625" customWidth="1"/>
    <col min="3" max="3" width="12.140625" style="18" bestFit="1" customWidth="1"/>
    <col min="4"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701" t="s">
        <v>523</v>
      </c>
      <c r="B2" s="701"/>
      <c r="C2" s="701"/>
      <c r="D2" s="701"/>
      <c r="E2" s="701"/>
      <c r="F2" s="701"/>
      <c r="G2" s="701"/>
      <c r="H2" s="701"/>
      <c r="I2" s="701"/>
      <c r="J2" s="552"/>
      <c r="K2" s="552"/>
    </row>
    <row r="3" spans="1:18">
      <c r="C3" s="453">
        <v>1</v>
      </c>
      <c r="D3" s="453">
        <v>1.05</v>
      </c>
      <c r="E3" s="453">
        <f>+D3*1.05</f>
        <v>1.1025</v>
      </c>
      <c r="F3" s="453">
        <f t="shared" ref="F3:I3" si="0">+E3*1.05</f>
        <v>1.1576250000000001</v>
      </c>
      <c r="G3" s="453">
        <f t="shared" si="0"/>
        <v>1.2155062500000002</v>
      </c>
      <c r="H3" s="453">
        <f t="shared" si="0"/>
        <v>1.2762815625000004</v>
      </c>
      <c r="I3" s="453">
        <f t="shared" si="0"/>
        <v>1.3400956406250004</v>
      </c>
    </row>
    <row r="4" spans="1:18" s="249" customFormat="1">
      <c r="A4" s="135" t="s">
        <v>0</v>
      </c>
      <c r="B4" s="122" t="s">
        <v>741</v>
      </c>
      <c r="C4" s="456" t="s">
        <v>2</v>
      </c>
      <c r="D4" s="456" t="s">
        <v>3</v>
      </c>
      <c r="E4" s="456" t="s">
        <v>4</v>
      </c>
      <c r="F4" s="456" t="s">
        <v>5</v>
      </c>
      <c r="G4" s="456" t="s">
        <v>6</v>
      </c>
      <c r="H4" s="456" t="s">
        <v>164</v>
      </c>
      <c r="I4" s="456" t="s">
        <v>163</v>
      </c>
      <c r="J4" s="511"/>
      <c r="K4" s="512"/>
      <c r="L4" s="512"/>
      <c r="M4" s="512"/>
      <c r="N4" s="512"/>
      <c r="O4" s="512"/>
      <c r="P4" s="512"/>
      <c r="Q4" s="512"/>
      <c r="R4" s="513"/>
    </row>
    <row r="5" spans="1:18">
      <c r="A5" s="289" t="s">
        <v>709</v>
      </c>
      <c r="B5" s="367"/>
      <c r="C5" s="454"/>
      <c r="D5" s="454"/>
      <c r="E5" s="454"/>
      <c r="F5" s="454"/>
      <c r="G5" s="454"/>
      <c r="H5" s="454"/>
      <c r="I5" s="454"/>
      <c r="J5" s="374"/>
      <c r="K5" s="477"/>
      <c r="L5" s="477"/>
    </row>
    <row r="6" spans="1:18">
      <c r="A6" s="133" t="s">
        <v>710</v>
      </c>
      <c r="B6" s="133" t="s">
        <v>711</v>
      </c>
      <c r="C6" s="459">
        <f>2000*12/100000</f>
        <v>0.24</v>
      </c>
      <c r="D6" s="459">
        <f t="shared" ref="D6:I6" si="1">+$C$6*D3</f>
        <v>0.252</v>
      </c>
      <c r="E6" s="459">
        <f t="shared" si="1"/>
        <v>0.2646</v>
      </c>
      <c r="F6" s="459">
        <f t="shared" si="1"/>
        <v>0.27783000000000002</v>
      </c>
      <c r="G6" s="459">
        <f t="shared" si="1"/>
        <v>0.29172150000000002</v>
      </c>
      <c r="H6" s="459">
        <f t="shared" si="1"/>
        <v>0.30630757500000005</v>
      </c>
      <c r="I6" s="459">
        <f t="shared" si="1"/>
        <v>0.32162295375000011</v>
      </c>
      <c r="J6" s="375"/>
      <c r="K6" s="478"/>
      <c r="L6" s="478"/>
    </row>
    <row r="7" spans="1:18">
      <c r="A7" s="133" t="s">
        <v>712</v>
      </c>
      <c r="B7" s="133" t="s">
        <v>713</v>
      </c>
      <c r="C7" s="459">
        <f>1000*12/100000</f>
        <v>0.12</v>
      </c>
      <c r="D7" s="459">
        <f t="shared" ref="D7:I7" si="2">+$C$7*D3</f>
        <v>0.126</v>
      </c>
      <c r="E7" s="459">
        <f t="shared" si="2"/>
        <v>0.1323</v>
      </c>
      <c r="F7" s="459">
        <f t="shared" si="2"/>
        <v>0.13891500000000001</v>
      </c>
      <c r="G7" s="459">
        <f t="shared" si="2"/>
        <v>0.14586075000000001</v>
      </c>
      <c r="H7" s="459">
        <f t="shared" si="2"/>
        <v>0.15315378750000003</v>
      </c>
      <c r="I7" s="459">
        <f t="shared" si="2"/>
        <v>0.16081147687500005</v>
      </c>
      <c r="J7" s="375"/>
      <c r="K7" s="478"/>
      <c r="L7" s="478"/>
    </row>
    <row r="8" spans="1:18">
      <c r="A8" s="133" t="s">
        <v>714</v>
      </c>
      <c r="B8" s="133" t="s">
        <v>715</v>
      </c>
      <c r="C8" s="459">
        <v>0.03</v>
      </c>
      <c r="D8" s="459">
        <f>C8</f>
        <v>0.03</v>
      </c>
      <c r="E8" s="459">
        <f t="shared" ref="E8:I8" si="3">D8</f>
        <v>0.03</v>
      </c>
      <c r="F8" s="459">
        <f t="shared" si="3"/>
        <v>0.03</v>
      </c>
      <c r="G8" s="459">
        <f t="shared" si="3"/>
        <v>0.03</v>
      </c>
      <c r="H8" s="459">
        <f t="shared" si="3"/>
        <v>0.03</v>
      </c>
      <c r="I8" s="459">
        <f t="shared" si="3"/>
        <v>0.03</v>
      </c>
      <c r="J8" s="375"/>
      <c r="K8" s="478"/>
      <c r="L8" s="478"/>
    </row>
    <row r="9" spans="1:18">
      <c r="A9" s="133" t="s">
        <v>716</v>
      </c>
      <c r="B9" s="133" t="s">
        <v>717</v>
      </c>
      <c r="C9" s="459">
        <v>0.15</v>
      </c>
      <c r="D9" s="459">
        <f t="shared" ref="D9:I9" si="4">+$C$9*D3</f>
        <v>0.1575</v>
      </c>
      <c r="E9" s="459">
        <f t="shared" si="4"/>
        <v>0.16537499999999999</v>
      </c>
      <c r="F9" s="459">
        <f t="shared" si="4"/>
        <v>0.17364375000000001</v>
      </c>
      <c r="G9" s="459">
        <f t="shared" si="4"/>
        <v>0.18232593750000003</v>
      </c>
      <c r="H9" s="459">
        <f t="shared" si="4"/>
        <v>0.19144223437500005</v>
      </c>
      <c r="I9" s="459">
        <f t="shared" si="4"/>
        <v>0.20101434609375005</v>
      </c>
      <c r="J9" s="375"/>
      <c r="K9" s="478"/>
      <c r="L9" s="478"/>
    </row>
    <row r="10" spans="1:18">
      <c r="A10" s="133" t="s">
        <v>718</v>
      </c>
      <c r="B10" s="133" t="s">
        <v>719</v>
      </c>
      <c r="C10" s="459">
        <f>+'Input Sheet'!$E$204/100000</f>
        <v>0.12</v>
      </c>
      <c r="D10" s="459">
        <f t="shared" ref="D10:I10" si="5">+$C$10*D3</f>
        <v>0.126</v>
      </c>
      <c r="E10" s="459">
        <f t="shared" si="5"/>
        <v>0.1323</v>
      </c>
      <c r="F10" s="459">
        <f t="shared" si="5"/>
        <v>0.13891500000000001</v>
      </c>
      <c r="G10" s="459">
        <f t="shared" si="5"/>
        <v>0.14586075000000001</v>
      </c>
      <c r="H10" s="459">
        <f t="shared" si="5"/>
        <v>0.15315378750000003</v>
      </c>
      <c r="I10" s="459">
        <f t="shared" si="5"/>
        <v>0.16081147687500005</v>
      </c>
      <c r="J10" s="375"/>
      <c r="K10" s="478"/>
      <c r="L10" s="478"/>
    </row>
    <row r="11" spans="1:18">
      <c r="A11" s="133" t="s">
        <v>720</v>
      </c>
      <c r="B11" s="133" t="s">
        <v>721</v>
      </c>
      <c r="C11" s="459">
        <f>3000*12/100000</f>
        <v>0.36</v>
      </c>
      <c r="D11" s="459">
        <f>+$C11*D$3</f>
        <v>0.378</v>
      </c>
      <c r="E11" s="459">
        <f t="shared" ref="E11:I12" si="6">+$C11*E$3</f>
        <v>0.39689999999999998</v>
      </c>
      <c r="F11" s="459">
        <f t="shared" si="6"/>
        <v>0.41674500000000003</v>
      </c>
      <c r="G11" s="459">
        <f t="shared" si="6"/>
        <v>0.43758225000000006</v>
      </c>
      <c r="H11" s="459">
        <f t="shared" si="6"/>
        <v>0.45946136250000014</v>
      </c>
      <c r="I11" s="459">
        <f t="shared" si="6"/>
        <v>0.48243443062500013</v>
      </c>
      <c r="J11" s="375"/>
      <c r="K11" s="478"/>
      <c r="L11" s="478"/>
    </row>
    <row r="12" spans="1:18">
      <c r="A12" s="133" t="s">
        <v>722</v>
      </c>
      <c r="B12" s="133" t="s">
        <v>721</v>
      </c>
      <c r="C12" s="459">
        <f>3000*12/100000</f>
        <v>0.36</v>
      </c>
      <c r="D12" s="459">
        <f t="shared" ref="D12:I17" si="7">+$C12*D$3</f>
        <v>0.378</v>
      </c>
      <c r="E12" s="459">
        <f t="shared" si="6"/>
        <v>0.39689999999999998</v>
      </c>
      <c r="F12" s="459">
        <f t="shared" si="6"/>
        <v>0.41674500000000003</v>
      </c>
      <c r="G12" s="459">
        <f t="shared" si="6"/>
        <v>0.43758225000000006</v>
      </c>
      <c r="H12" s="459">
        <f t="shared" si="6"/>
        <v>0.45946136250000014</v>
      </c>
      <c r="I12" s="459">
        <f t="shared" si="6"/>
        <v>0.48243443062500013</v>
      </c>
      <c r="J12" s="375"/>
      <c r="K12" s="478"/>
      <c r="L12" s="478"/>
    </row>
    <row r="13" spans="1:18">
      <c r="A13" s="133" t="s">
        <v>723</v>
      </c>
      <c r="B13" s="133" t="s">
        <v>724</v>
      </c>
      <c r="C13" s="459">
        <f>+'Input Sheet'!H181+'Input Sheet'!H182+'Input Sheet'!H183+'Input Sheet'!H184</f>
        <v>5.16</v>
      </c>
      <c r="D13" s="459">
        <f t="shared" si="7"/>
        <v>5.4180000000000001</v>
      </c>
      <c r="E13" s="459">
        <f t="shared" si="7"/>
        <v>5.6889000000000003</v>
      </c>
      <c r="F13" s="459">
        <f t="shared" si="7"/>
        <v>5.973345000000001</v>
      </c>
      <c r="G13" s="459">
        <f t="shared" si="7"/>
        <v>6.2720122500000013</v>
      </c>
      <c r="H13" s="459">
        <f t="shared" si="7"/>
        <v>6.5856128625000023</v>
      </c>
      <c r="I13" s="459">
        <f t="shared" si="7"/>
        <v>6.9148935056250025</v>
      </c>
      <c r="J13" s="375"/>
      <c r="K13" s="478"/>
      <c r="L13" s="478"/>
    </row>
    <row r="14" spans="1:18">
      <c r="A14" s="133" t="s">
        <v>725</v>
      </c>
      <c r="B14" s="133" t="s">
        <v>726</v>
      </c>
      <c r="C14" s="459">
        <f>5000*12/100000</f>
        <v>0.6</v>
      </c>
      <c r="D14" s="459">
        <f t="shared" si="7"/>
        <v>0.63</v>
      </c>
      <c r="E14" s="459">
        <f t="shared" si="7"/>
        <v>0.66149999999999998</v>
      </c>
      <c r="F14" s="459">
        <f t="shared" si="7"/>
        <v>0.69457500000000005</v>
      </c>
      <c r="G14" s="459">
        <f t="shared" si="7"/>
        <v>0.72930375000000014</v>
      </c>
      <c r="H14" s="459">
        <f t="shared" si="7"/>
        <v>0.76576893750000019</v>
      </c>
      <c r="I14" s="459">
        <f t="shared" si="7"/>
        <v>0.80405738437500018</v>
      </c>
      <c r="J14" s="375"/>
      <c r="K14" s="478"/>
      <c r="L14" s="478"/>
    </row>
    <row r="15" spans="1:18">
      <c r="A15" s="133" t="s">
        <v>727</v>
      </c>
      <c r="B15" s="133" t="s">
        <v>726</v>
      </c>
      <c r="C15" s="459">
        <f>5000*12/100000</f>
        <v>0.6</v>
      </c>
      <c r="D15" s="459">
        <f t="shared" si="7"/>
        <v>0.63</v>
      </c>
      <c r="E15" s="459">
        <f t="shared" si="7"/>
        <v>0.66149999999999998</v>
      </c>
      <c r="F15" s="459">
        <f t="shared" si="7"/>
        <v>0.69457500000000005</v>
      </c>
      <c r="G15" s="459">
        <f t="shared" si="7"/>
        <v>0.72930375000000014</v>
      </c>
      <c r="H15" s="459">
        <f t="shared" si="7"/>
        <v>0.76576893750000019</v>
      </c>
      <c r="I15" s="459">
        <f t="shared" si="7"/>
        <v>0.80405738437500018</v>
      </c>
      <c r="J15" s="375"/>
      <c r="K15" s="478"/>
      <c r="L15" s="478"/>
    </row>
    <row r="16" spans="1:18">
      <c r="A16" s="133" t="s">
        <v>728</v>
      </c>
      <c r="B16" s="133" t="s">
        <v>729</v>
      </c>
      <c r="C16" s="459">
        <v>0.12</v>
      </c>
      <c r="D16" s="459">
        <f t="shared" si="7"/>
        <v>0.126</v>
      </c>
      <c r="E16" s="459">
        <f t="shared" si="7"/>
        <v>0.1323</v>
      </c>
      <c r="F16" s="459">
        <f t="shared" si="7"/>
        <v>0.13891500000000001</v>
      </c>
      <c r="G16" s="459">
        <f t="shared" si="7"/>
        <v>0.14586075000000001</v>
      </c>
      <c r="H16" s="459">
        <f t="shared" si="7"/>
        <v>0.15315378750000003</v>
      </c>
      <c r="I16" s="459">
        <f t="shared" si="7"/>
        <v>0.16081147687500005</v>
      </c>
      <c r="J16" s="375"/>
      <c r="K16" s="478"/>
      <c r="L16" s="478"/>
    </row>
    <row r="17" spans="1:18">
      <c r="A17" s="133" t="s">
        <v>730</v>
      </c>
      <c r="B17" s="133" t="s">
        <v>731</v>
      </c>
      <c r="C17" s="459">
        <f t="shared" ref="C17" si="8">C13*0.1</f>
        <v>0.51600000000000001</v>
      </c>
      <c r="D17" s="459">
        <f t="shared" si="7"/>
        <v>0.54180000000000006</v>
      </c>
      <c r="E17" s="459">
        <f t="shared" si="7"/>
        <v>0.56889000000000001</v>
      </c>
      <c r="F17" s="459">
        <f t="shared" si="7"/>
        <v>0.5973345000000001</v>
      </c>
      <c r="G17" s="459">
        <f t="shared" si="7"/>
        <v>0.62720122500000008</v>
      </c>
      <c r="H17" s="459">
        <f t="shared" si="7"/>
        <v>0.65856128625000021</v>
      </c>
      <c r="I17" s="459">
        <f t="shared" si="7"/>
        <v>0.69148935056250027</v>
      </c>
      <c r="J17" s="375"/>
      <c r="K17" s="478"/>
      <c r="L17" s="478"/>
    </row>
    <row r="18" spans="1:18">
      <c r="A18" s="289" t="s">
        <v>732</v>
      </c>
      <c r="B18" s="366"/>
      <c r="C18" s="460">
        <f t="shared" ref="C18:I18" si="9">SUM(C6:C17)</f>
        <v>8.3759999999999994</v>
      </c>
      <c r="D18" s="460">
        <f t="shared" si="9"/>
        <v>8.7933000000000003</v>
      </c>
      <c r="E18" s="460">
        <f t="shared" si="9"/>
        <v>9.231465</v>
      </c>
      <c r="F18" s="460">
        <f t="shared" si="9"/>
        <v>9.6915382500000025</v>
      </c>
      <c r="G18" s="460">
        <f t="shared" si="9"/>
        <v>10.174615162500002</v>
      </c>
      <c r="H18" s="460">
        <f t="shared" si="9"/>
        <v>10.681845920625005</v>
      </c>
      <c r="I18" s="460">
        <f t="shared" si="9"/>
        <v>11.214438216656253</v>
      </c>
      <c r="J18" s="376"/>
      <c r="K18" s="479"/>
      <c r="L18" s="479"/>
    </row>
    <row r="20" spans="1:18">
      <c r="A20" s="730"/>
      <c r="B20" s="730"/>
      <c r="C20" s="730"/>
      <c r="D20" s="730"/>
      <c r="E20" s="730"/>
      <c r="F20" s="730"/>
      <c r="G20" s="730"/>
      <c r="H20" s="730"/>
      <c r="I20" s="730"/>
      <c r="J20" s="730"/>
      <c r="K20" s="730"/>
      <c r="L20" s="730"/>
      <c r="M20" s="730"/>
      <c r="N20" s="730"/>
      <c r="O20" s="730"/>
    </row>
    <row r="21" spans="1:18" ht="18.75">
      <c r="A21" s="755" t="s">
        <v>524</v>
      </c>
      <c r="B21" s="755"/>
      <c r="C21" s="755"/>
      <c r="D21" s="755"/>
      <c r="E21" s="755"/>
      <c r="F21" s="755"/>
      <c r="G21" s="755"/>
      <c r="H21" s="755"/>
      <c r="I21" s="755"/>
      <c r="J21" s="755"/>
      <c r="K21" s="755"/>
      <c r="L21" s="755"/>
      <c r="M21" s="755"/>
      <c r="N21" s="755"/>
      <c r="O21" s="755"/>
      <c r="P21" s="755"/>
      <c r="Q21" s="755"/>
    </row>
    <row r="22" spans="1:18" s="13" customFormat="1">
      <c r="A22" s="123"/>
      <c r="B22" s="123"/>
      <c r="C22" s="455"/>
      <c r="D22" s="455"/>
      <c r="E22" s="455"/>
      <c r="F22" s="455"/>
      <c r="G22" s="455"/>
      <c r="H22" s="455"/>
      <c r="I22" s="455"/>
      <c r="J22" s="123"/>
      <c r="K22" s="455"/>
      <c r="L22" s="455"/>
      <c r="M22" s="455"/>
      <c r="N22" s="455"/>
      <c r="O22" s="455"/>
      <c r="P22" s="480"/>
      <c r="Q22" s="480"/>
      <c r="R22" s="480"/>
    </row>
    <row r="23" spans="1:18">
      <c r="A23" s="79"/>
      <c r="B23" s="79"/>
      <c r="C23" s="757" t="s">
        <v>186</v>
      </c>
      <c r="D23" s="757"/>
      <c r="E23" s="757"/>
      <c r="F23" s="757"/>
      <c r="G23" s="757"/>
      <c r="H23" s="757"/>
      <c r="I23" s="757"/>
      <c r="J23" s="79"/>
      <c r="K23" s="758" t="s">
        <v>187</v>
      </c>
      <c r="L23" s="758"/>
      <c r="M23" s="758"/>
      <c r="N23" s="758"/>
      <c r="O23" s="758"/>
      <c r="P23" s="758"/>
      <c r="Q23" s="758"/>
    </row>
    <row r="24" spans="1:18">
      <c r="A24" s="135" t="s">
        <v>0</v>
      </c>
      <c r="B24" s="131"/>
      <c r="C24" s="456" t="s">
        <v>2</v>
      </c>
      <c r="D24" s="456" t="s">
        <v>3</v>
      </c>
      <c r="E24" s="456" t="s">
        <v>4</v>
      </c>
      <c r="F24" s="456" t="s">
        <v>5</v>
      </c>
      <c r="G24" s="456" t="s">
        <v>6</v>
      </c>
      <c r="H24" s="456" t="s">
        <v>164</v>
      </c>
      <c r="I24" s="456" t="s">
        <v>163</v>
      </c>
      <c r="J24" s="136"/>
      <c r="K24" s="456" t="s">
        <v>2</v>
      </c>
      <c r="L24" s="456" t="s">
        <v>3</v>
      </c>
      <c r="M24" s="456" t="s">
        <v>4</v>
      </c>
      <c r="N24" s="456" t="s">
        <v>5</v>
      </c>
      <c r="O24" s="456" t="s">
        <v>6</v>
      </c>
      <c r="P24" s="456" t="s">
        <v>164</v>
      </c>
      <c r="Q24" s="456" t="s">
        <v>163</v>
      </c>
    </row>
    <row r="25" spans="1:18">
      <c r="A25" s="132" t="s">
        <v>188</v>
      </c>
      <c r="B25" s="84"/>
      <c r="C25" s="457"/>
      <c r="D25" s="457"/>
      <c r="E25" s="457"/>
      <c r="F25" s="457"/>
      <c r="G25" s="458"/>
      <c r="H25" s="458"/>
      <c r="I25" s="458"/>
      <c r="J25" s="84"/>
      <c r="K25" s="457"/>
      <c r="L25" s="457"/>
      <c r="M25" s="457"/>
      <c r="N25" s="457"/>
      <c r="O25" s="458"/>
      <c r="P25" s="458"/>
      <c r="Q25" s="458"/>
    </row>
    <row r="26" spans="1:18">
      <c r="A26" s="132"/>
      <c r="B26" s="84"/>
      <c r="C26" s="457"/>
      <c r="D26" s="457"/>
      <c r="E26" s="457"/>
      <c r="F26" s="457"/>
      <c r="G26" s="458"/>
      <c r="H26" s="458"/>
      <c r="I26" s="458"/>
      <c r="J26" s="84"/>
      <c r="K26" s="457"/>
      <c r="L26" s="457"/>
      <c r="M26" s="457"/>
      <c r="N26" s="457"/>
      <c r="O26" s="458"/>
      <c r="P26" s="458"/>
      <c r="Q26" s="458"/>
    </row>
    <row r="27" spans="1:18">
      <c r="A27" s="133"/>
      <c r="B27" s="133"/>
      <c r="C27" s="457"/>
      <c r="D27" s="457"/>
      <c r="E27" s="457"/>
      <c r="F27" s="457"/>
      <c r="G27" s="457"/>
      <c r="H27" s="457"/>
      <c r="I27" s="457"/>
      <c r="J27" s="84"/>
      <c r="K27" s="457"/>
      <c r="L27" s="457"/>
      <c r="M27" s="457"/>
      <c r="N27" s="457"/>
      <c r="O27" s="457"/>
      <c r="P27" s="457"/>
      <c r="Q27" s="457"/>
    </row>
    <row r="28" spans="1:18">
      <c r="A28" s="134" t="s">
        <v>192</v>
      </c>
      <c r="B28" s="134"/>
      <c r="C28" s="457"/>
      <c r="D28" s="457"/>
      <c r="E28" s="457"/>
      <c r="F28" s="457"/>
      <c r="G28" s="457"/>
      <c r="H28" s="457"/>
      <c r="I28" s="457"/>
      <c r="J28" s="84"/>
      <c r="K28" s="457"/>
      <c r="L28" s="457"/>
      <c r="M28" s="457"/>
      <c r="N28" s="457"/>
      <c r="O28" s="457"/>
      <c r="P28" s="457"/>
      <c r="Q28" s="457"/>
    </row>
    <row r="29" spans="1:18">
      <c r="A29" s="133" t="s">
        <v>189</v>
      </c>
      <c r="B29" s="133"/>
      <c r="C29" s="459">
        <f>'1.Project Cost and MOF'!D5</f>
        <v>175.06</v>
      </c>
      <c r="D29" s="459">
        <f t="shared" ref="D29:I29" si="10">C32</f>
        <v>169.51059800000002</v>
      </c>
      <c r="E29" s="459">
        <f t="shared" si="10"/>
        <v>163.96119600000003</v>
      </c>
      <c r="F29" s="459">
        <f t="shared" si="10"/>
        <v>158.41179400000004</v>
      </c>
      <c r="G29" s="459">
        <f t="shared" si="10"/>
        <v>152.86239200000006</v>
      </c>
      <c r="H29" s="459">
        <f t="shared" si="10"/>
        <v>147.31299000000007</v>
      </c>
      <c r="I29" s="459">
        <f t="shared" si="10"/>
        <v>141.76358800000008</v>
      </c>
      <c r="J29" s="84"/>
      <c r="K29" s="459">
        <f>C29</f>
        <v>175.06</v>
      </c>
      <c r="L29" s="459">
        <f t="shared" ref="L29:Q29" si="11">K32</f>
        <v>157.554</v>
      </c>
      <c r="M29" s="459">
        <f t="shared" si="11"/>
        <v>141.79859999999999</v>
      </c>
      <c r="N29" s="459">
        <f t="shared" si="11"/>
        <v>127.61873999999999</v>
      </c>
      <c r="O29" s="459">
        <f t="shared" si="11"/>
        <v>114.856866</v>
      </c>
      <c r="P29" s="459">
        <f t="shared" si="11"/>
        <v>103.37117939999999</v>
      </c>
      <c r="Q29" s="459">
        <f t="shared" si="11"/>
        <v>93.03406145999999</v>
      </c>
    </row>
    <row r="30" spans="1:18">
      <c r="A30" s="133" t="s">
        <v>16</v>
      </c>
      <c r="B30" s="133"/>
      <c r="C30" s="459">
        <f t="shared" ref="C30:I30" si="12">$C$29*$B$66</f>
        <v>5.5494019999999997</v>
      </c>
      <c r="D30" s="459">
        <f t="shared" si="12"/>
        <v>5.5494019999999997</v>
      </c>
      <c r="E30" s="459">
        <f t="shared" si="12"/>
        <v>5.5494019999999997</v>
      </c>
      <c r="F30" s="459">
        <f t="shared" si="12"/>
        <v>5.5494019999999997</v>
      </c>
      <c r="G30" s="459">
        <f t="shared" si="12"/>
        <v>5.5494019999999997</v>
      </c>
      <c r="H30" s="459">
        <f t="shared" si="12"/>
        <v>5.5494019999999997</v>
      </c>
      <c r="I30" s="459">
        <f t="shared" si="12"/>
        <v>5.5494019999999997</v>
      </c>
      <c r="J30" s="84"/>
      <c r="K30" s="459">
        <f t="shared" ref="K30:Q30" si="13">K29*$C$66</f>
        <v>17.506</v>
      </c>
      <c r="L30" s="459">
        <f t="shared" si="13"/>
        <v>15.755400000000002</v>
      </c>
      <c r="M30" s="459">
        <f t="shared" si="13"/>
        <v>14.17986</v>
      </c>
      <c r="N30" s="459">
        <f t="shared" si="13"/>
        <v>12.761873999999999</v>
      </c>
      <c r="O30" s="459">
        <f t="shared" si="13"/>
        <v>11.485686600000001</v>
      </c>
      <c r="P30" s="459">
        <f t="shared" si="13"/>
        <v>10.337117939999999</v>
      </c>
      <c r="Q30" s="459">
        <f t="shared" si="13"/>
        <v>9.3034061459999986</v>
      </c>
    </row>
    <row r="31" spans="1:18">
      <c r="A31" s="133" t="s">
        <v>190</v>
      </c>
      <c r="B31" s="133"/>
      <c r="C31" s="459">
        <f>C30</f>
        <v>5.5494019999999997</v>
      </c>
      <c r="D31" s="459">
        <f t="shared" ref="D31:I31" si="14">C31+D30</f>
        <v>11.098803999999999</v>
      </c>
      <c r="E31" s="459">
        <f t="shared" si="14"/>
        <v>16.648205999999998</v>
      </c>
      <c r="F31" s="459">
        <f t="shared" si="14"/>
        <v>22.197607999999999</v>
      </c>
      <c r="G31" s="459">
        <f t="shared" si="14"/>
        <v>27.74701</v>
      </c>
      <c r="H31" s="459">
        <f t="shared" si="14"/>
        <v>33.296411999999997</v>
      </c>
      <c r="I31" s="459">
        <f t="shared" si="14"/>
        <v>38.845813999999997</v>
      </c>
      <c r="J31" s="84"/>
      <c r="K31" s="459">
        <f>K30</f>
        <v>17.506</v>
      </c>
      <c r="L31" s="459">
        <f t="shared" ref="L31:Q31" si="15">K31+L30</f>
        <v>33.261400000000002</v>
      </c>
      <c r="M31" s="459">
        <f t="shared" si="15"/>
        <v>47.44126</v>
      </c>
      <c r="N31" s="459">
        <f t="shared" si="15"/>
        <v>60.203133999999999</v>
      </c>
      <c r="O31" s="459">
        <f t="shared" si="15"/>
        <v>71.6888206</v>
      </c>
      <c r="P31" s="459">
        <f t="shared" si="15"/>
        <v>82.025938539999999</v>
      </c>
      <c r="Q31" s="459">
        <f t="shared" si="15"/>
        <v>91.329344685999999</v>
      </c>
    </row>
    <row r="32" spans="1:18">
      <c r="A32" s="133" t="s">
        <v>191</v>
      </c>
      <c r="B32" s="133"/>
      <c r="C32" s="459">
        <f t="shared" ref="C32:I32" si="16">C29-C30</f>
        <v>169.51059800000002</v>
      </c>
      <c r="D32" s="459">
        <f t="shared" si="16"/>
        <v>163.96119600000003</v>
      </c>
      <c r="E32" s="459">
        <f t="shared" si="16"/>
        <v>158.41179400000004</v>
      </c>
      <c r="F32" s="459">
        <f t="shared" si="16"/>
        <v>152.86239200000006</v>
      </c>
      <c r="G32" s="459">
        <f t="shared" si="16"/>
        <v>147.31299000000007</v>
      </c>
      <c r="H32" s="459">
        <f t="shared" si="16"/>
        <v>141.76358800000008</v>
      </c>
      <c r="I32" s="459">
        <f t="shared" si="16"/>
        <v>136.2141860000001</v>
      </c>
      <c r="J32" s="84"/>
      <c r="K32" s="459">
        <f t="shared" ref="K32:Q32" si="17">K29-K30</f>
        <v>157.554</v>
      </c>
      <c r="L32" s="459">
        <f t="shared" si="17"/>
        <v>141.79859999999999</v>
      </c>
      <c r="M32" s="459">
        <f t="shared" si="17"/>
        <v>127.61873999999999</v>
      </c>
      <c r="N32" s="459">
        <f t="shared" si="17"/>
        <v>114.856866</v>
      </c>
      <c r="O32" s="459">
        <f t="shared" si="17"/>
        <v>103.37117939999999</v>
      </c>
      <c r="P32" s="459">
        <f t="shared" si="17"/>
        <v>93.03406145999999</v>
      </c>
      <c r="Q32" s="459">
        <f t="shared" si="17"/>
        <v>83.730655313999989</v>
      </c>
    </row>
    <row r="33" spans="1:17">
      <c r="A33" s="133"/>
      <c r="B33" s="133"/>
      <c r="C33" s="459"/>
      <c r="D33" s="459"/>
      <c r="E33" s="459"/>
      <c r="F33" s="459"/>
      <c r="G33" s="459"/>
      <c r="H33" s="459"/>
      <c r="I33" s="459"/>
      <c r="J33" s="84"/>
      <c r="K33" s="459"/>
      <c r="L33" s="459"/>
      <c r="M33" s="459"/>
      <c r="N33" s="459"/>
      <c r="O33" s="459"/>
      <c r="P33" s="459"/>
      <c r="Q33" s="459"/>
    </row>
    <row r="34" spans="1:17">
      <c r="A34" s="134" t="s">
        <v>193</v>
      </c>
      <c r="B34" s="134"/>
      <c r="C34" s="459"/>
      <c r="D34" s="459"/>
      <c r="E34" s="459"/>
      <c r="F34" s="459"/>
      <c r="G34" s="459"/>
      <c r="H34" s="459"/>
      <c r="I34" s="459"/>
      <c r="J34" s="84"/>
      <c r="K34" s="459"/>
      <c r="L34" s="459"/>
      <c r="M34" s="459"/>
      <c r="N34" s="459"/>
      <c r="O34" s="459"/>
      <c r="P34" s="459"/>
      <c r="Q34" s="459"/>
    </row>
    <row r="35" spans="1:17">
      <c r="A35" s="133" t="s">
        <v>189</v>
      </c>
      <c r="B35" s="133"/>
      <c r="C35" s="459">
        <f>'1.Project Cost and MOF'!D6</f>
        <v>144.35000000000002</v>
      </c>
      <c r="D35" s="459">
        <f t="shared" ref="D35:I35" si="18">C38</f>
        <v>135.21264500000001</v>
      </c>
      <c r="E35" s="459">
        <f t="shared" si="18"/>
        <v>126.07529000000001</v>
      </c>
      <c r="F35" s="459">
        <f t="shared" si="18"/>
        <v>116.93793500000001</v>
      </c>
      <c r="G35" s="459">
        <f t="shared" si="18"/>
        <v>107.80058000000001</v>
      </c>
      <c r="H35" s="459">
        <f t="shared" si="18"/>
        <v>98.663225000000011</v>
      </c>
      <c r="I35" s="459">
        <f t="shared" si="18"/>
        <v>89.525870000000012</v>
      </c>
      <c r="J35" s="84"/>
      <c r="K35" s="459">
        <f>C35</f>
        <v>144.35000000000002</v>
      </c>
      <c r="L35" s="459">
        <f t="shared" ref="L35:Q35" si="19">K38</f>
        <v>122.69750000000002</v>
      </c>
      <c r="M35" s="459">
        <f t="shared" si="19"/>
        <v>104.29287500000001</v>
      </c>
      <c r="N35" s="459">
        <f t="shared" si="19"/>
        <v>88.648943750000001</v>
      </c>
      <c r="O35" s="459">
        <f t="shared" si="19"/>
        <v>75.351602187500006</v>
      </c>
      <c r="P35" s="459">
        <f t="shared" si="19"/>
        <v>64.048861859375009</v>
      </c>
      <c r="Q35" s="459">
        <f t="shared" si="19"/>
        <v>54.44153258046876</v>
      </c>
    </row>
    <row r="36" spans="1:17">
      <c r="A36" s="133" t="s">
        <v>16</v>
      </c>
      <c r="B36" s="133"/>
      <c r="C36" s="459">
        <f t="shared" ref="C36:I36" si="20">$C$35*$B$70</f>
        <v>9.1373550000000012</v>
      </c>
      <c r="D36" s="459">
        <f t="shared" si="20"/>
        <v>9.1373550000000012</v>
      </c>
      <c r="E36" s="459">
        <f t="shared" si="20"/>
        <v>9.1373550000000012</v>
      </c>
      <c r="F36" s="459">
        <f t="shared" si="20"/>
        <v>9.1373550000000012</v>
      </c>
      <c r="G36" s="459">
        <f t="shared" si="20"/>
        <v>9.1373550000000012</v>
      </c>
      <c r="H36" s="459">
        <f t="shared" si="20"/>
        <v>9.1373550000000012</v>
      </c>
      <c r="I36" s="459">
        <f t="shared" si="20"/>
        <v>9.1373550000000012</v>
      </c>
      <c r="J36" s="84"/>
      <c r="K36" s="459">
        <f t="shared" ref="K36:Q36" si="21">K35*$C$70</f>
        <v>21.652500000000003</v>
      </c>
      <c r="L36" s="459">
        <f t="shared" si="21"/>
        <v>18.404625000000003</v>
      </c>
      <c r="M36" s="459">
        <f t="shared" si="21"/>
        <v>15.643931250000001</v>
      </c>
      <c r="N36" s="459">
        <f t="shared" si="21"/>
        <v>13.2973415625</v>
      </c>
      <c r="O36" s="459">
        <f t="shared" si="21"/>
        <v>11.302740328125001</v>
      </c>
      <c r="P36" s="459">
        <f t="shared" si="21"/>
        <v>9.607329278906251</v>
      </c>
      <c r="Q36" s="459">
        <f t="shared" si="21"/>
        <v>8.1662298870703136</v>
      </c>
    </row>
    <row r="37" spans="1:17">
      <c r="A37" s="133" t="s">
        <v>190</v>
      </c>
      <c r="B37" s="133"/>
      <c r="C37" s="459">
        <f>C36</f>
        <v>9.1373550000000012</v>
      </c>
      <c r="D37" s="459">
        <f t="shared" ref="D37:I37" si="22">C37+D36</f>
        <v>18.274710000000002</v>
      </c>
      <c r="E37" s="459">
        <f t="shared" si="22"/>
        <v>27.412065000000005</v>
      </c>
      <c r="F37" s="459">
        <f t="shared" si="22"/>
        <v>36.549420000000005</v>
      </c>
      <c r="G37" s="459">
        <f t="shared" si="22"/>
        <v>45.686775000000004</v>
      </c>
      <c r="H37" s="459">
        <f t="shared" si="22"/>
        <v>54.824130000000004</v>
      </c>
      <c r="I37" s="459">
        <f t="shared" si="22"/>
        <v>63.961485000000003</v>
      </c>
      <c r="J37" s="84"/>
      <c r="K37" s="459">
        <f>K36</f>
        <v>21.652500000000003</v>
      </c>
      <c r="L37" s="459">
        <f t="shared" ref="L37:Q37" si="23">K37+L36</f>
        <v>40.057125000000006</v>
      </c>
      <c r="M37" s="459">
        <f t="shared" si="23"/>
        <v>55.701056250000008</v>
      </c>
      <c r="N37" s="459">
        <f t="shared" si="23"/>
        <v>68.998397812500002</v>
      </c>
      <c r="O37" s="459">
        <f t="shared" si="23"/>
        <v>80.301138140625</v>
      </c>
      <c r="P37" s="459">
        <f t="shared" si="23"/>
        <v>89.908467419531249</v>
      </c>
      <c r="Q37" s="459">
        <f t="shared" si="23"/>
        <v>98.074697306601564</v>
      </c>
    </row>
    <row r="38" spans="1:17">
      <c r="A38" s="133" t="s">
        <v>191</v>
      </c>
      <c r="B38" s="133"/>
      <c r="C38" s="459">
        <f t="shared" ref="C38:I38" si="24">C35-C36</f>
        <v>135.21264500000001</v>
      </c>
      <c r="D38" s="459">
        <f t="shared" si="24"/>
        <v>126.07529000000001</v>
      </c>
      <c r="E38" s="459">
        <f t="shared" si="24"/>
        <v>116.93793500000001</v>
      </c>
      <c r="F38" s="459">
        <f t="shared" si="24"/>
        <v>107.80058000000001</v>
      </c>
      <c r="G38" s="459">
        <f t="shared" si="24"/>
        <v>98.663225000000011</v>
      </c>
      <c r="H38" s="459">
        <f t="shared" si="24"/>
        <v>89.525870000000012</v>
      </c>
      <c r="I38" s="459">
        <f t="shared" si="24"/>
        <v>80.388515000000012</v>
      </c>
      <c r="J38" s="84"/>
      <c r="K38" s="459">
        <f t="shared" ref="K38:Q38" si="25">K35-K36</f>
        <v>122.69750000000002</v>
      </c>
      <c r="L38" s="459">
        <f t="shared" si="25"/>
        <v>104.29287500000001</v>
      </c>
      <c r="M38" s="459">
        <f t="shared" si="25"/>
        <v>88.648943750000001</v>
      </c>
      <c r="N38" s="459">
        <f t="shared" si="25"/>
        <v>75.351602187500006</v>
      </c>
      <c r="O38" s="459">
        <f t="shared" si="25"/>
        <v>64.048861859375009</v>
      </c>
      <c r="P38" s="459">
        <f t="shared" si="25"/>
        <v>54.44153258046876</v>
      </c>
      <c r="Q38" s="459">
        <f t="shared" si="25"/>
        <v>46.275302693398444</v>
      </c>
    </row>
    <row r="39" spans="1:17">
      <c r="A39" s="133"/>
      <c r="B39" s="133"/>
      <c r="C39" s="459"/>
      <c r="D39" s="459"/>
      <c r="E39" s="459"/>
      <c r="F39" s="459"/>
      <c r="G39" s="459"/>
      <c r="H39" s="459"/>
      <c r="I39" s="459"/>
      <c r="J39" s="84"/>
      <c r="K39" s="459"/>
      <c r="L39" s="459"/>
      <c r="M39" s="459"/>
      <c r="N39" s="459"/>
      <c r="O39" s="459"/>
      <c r="P39" s="459"/>
      <c r="Q39" s="459"/>
    </row>
    <row r="40" spans="1:17" hidden="1">
      <c r="A40" s="134" t="s">
        <v>194</v>
      </c>
      <c r="B40" s="134"/>
      <c r="C40" s="459"/>
      <c r="D40" s="459"/>
      <c r="E40" s="459"/>
      <c r="F40" s="459"/>
      <c r="G40" s="459"/>
      <c r="H40" s="459"/>
      <c r="I40" s="459"/>
      <c r="J40" s="84"/>
      <c r="K40" s="459"/>
      <c r="L40" s="459"/>
      <c r="M40" s="459"/>
      <c r="N40" s="459"/>
      <c r="O40" s="459"/>
      <c r="P40" s="459"/>
      <c r="Q40" s="459"/>
    </row>
    <row r="41" spans="1:17" hidden="1">
      <c r="A41" s="133" t="s">
        <v>189</v>
      </c>
      <c r="B41" s="133"/>
      <c r="C41" s="459">
        <f>'1.Project Cost and MOF'!D7</f>
        <v>0</v>
      </c>
      <c r="D41" s="459">
        <f t="shared" ref="D41:I41" si="26">C44</f>
        <v>0</v>
      </c>
      <c r="E41" s="459">
        <f t="shared" si="26"/>
        <v>0</v>
      </c>
      <c r="F41" s="459">
        <f t="shared" si="26"/>
        <v>0</v>
      </c>
      <c r="G41" s="459">
        <f t="shared" si="26"/>
        <v>0</v>
      </c>
      <c r="H41" s="459">
        <f t="shared" si="26"/>
        <v>0</v>
      </c>
      <c r="I41" s="459">
        <f t="shared" si="26"/>
        <v>0</v>
      </c>
      <c r="J41" s="84"/>
      <c r="K41" s="459">
        <f>C41</f>
        <v>0</v>
      </c>
      <c r="L41" s="459">
        <f t="shared" ref="L41:Q41" si="27">K44</f>
        <v>0</v>
      </c>
      <c r="M41" s="459">
        <f t="shared" si="27"/>
        <v>0</v>
      </c>
      <c r="N41" s="459">
        <f t="shared" si="27"/>
        <v>0</v>
      </c>
      <c r="O41" s="459">
        <f t="shared" si="27"/>
        <v>0</v>
      </c>
      <c r="P41" s="459">
        <f t="shared" si="27"/>
        <v>0</v>
      </c>
      <c r="Q41" s="459">
        <f t="shared" si="27"/>
        <v>0</v>
      </c>
    </row>
    <row r="42" spans="1:17" hidden="1">
      <c r="A42" s="133" t="s">
        <v>16</v>
      </c>
      <c r="B42" s="133"/>
      <c r="C42" s="459">
        <f t="shared" ref="C42:I42" si="28">$C$41*$B$67</f>
        <v>0</v>
      </c>
      <c r="D42" s="459">
        <f t="shared" si="28"/>
        <v>0</v>
      </c>
      <c r="E42" s="459">
        <f t="shared" si="28"/>
        <v>0</v>
      </c>
      <c r="F42" s="459">
        <f t="shared" si="28"/>
        <v>0</v>
      </c>
      <c r="G42" s="459">
        <f t="shared" si="28"/>
        <v>0</v>
      </c>
      <c r="H42" s="459">
        <f t="shared" si="28"/>
        <v>0</v>
      </c>
      <c r="I42" s="459">
        <f t="shared" si="28"/>
        <v>0</v>
      </c>
      <c r="J42" s="84"/>
      <c r="K42" s="459">
        <f t="shared" ref="K42:Q42" si="29">K41*$C$67</f>
        <v>0</v>
      </c>
      <c r="L42" s="459">
        <f t="shared" si="29"/>
        <v>0</v>
      </c>
      <c r="M42" s="459">
        <f t="shared" si="29"/>
        <v>0</v>
      </c>
      <c r="N42" s="459">
        <f t="shared" si="29"/>
        <v>0</v>
      </c>
      <c r="O42" s="459">
        <f t="shared" si="29"/>
        <v>0</v>
      </c>
      <c r="P42" s="459">
        <f t="shared" si="29"/>
        <v>0</v>
      </c>
      <c r="Q42" s="459">
        <f t="shared" si="29"/>
        <v>0</v>
      </c>
    </row>
    <row r="43" spans="1:17" hidden="1">
      <c r="A43" s="133" t="s">
        <v>190</v>
      </c>
      <c r="B43" s="133"/>
      <c r="C43" s="459">
        <f>C42</f>
        <v>0</v>
      </c>
      <c r="D43" s="459">
        <f t="shared" ref="D43:I43" si="30">C43+D42</f>
        <v>0</v>
      </c>
      <c r="E43" s="459">
        <f t="shared" si="30"/>
        <v>0</v>
      </c>
      <c r="F43" s="459">
        <f t="shared" si="30"/>
        <v>0</v>
      </c>
      <c r="G43" s="459">
        <f t="shared" si="30"/>
        <v>0</v>
      </c>
      <c r="H43" s="459">
        <f t="shared" si="30"/>
        <v>0</v>
      </c>
      <c r="I43" s="459">
        <f t="shared" si="30"/>
        <v>0</v>
      </c>
      <c r="J43" s="84"/>
      <c r="K43" s="459">
        <f>K42</f>
        <v>0</v>
      </c>
      <c r="L43" s="459">
        <f t="shared" ref="L43:Q43" si="31">K43+L42</f>
        <v>0</v>
      </c>
      <c r="M43" s="459">
        <f t="shared" si="31"/>
        <v>0</v>
      </c>
      <c r="N43" s="459">
        <f t="shared" si="31"/>
        <v>0</v>
      </c>
      <c r="O43" s="459">
        <f t="shared" si="31"/>
        <v>0</v>
      </c>
      <c r="P43" s="459">
        <f t="shared" si="31"/>
        <v>0</v>
      </c>
      <c r="Q43" s="459">
        <f t="shared" si="31"/>
        <v>0</v>
      </c>
    </row>
    <row r="44" spans="1:17" hidden="1">
      <c r="A44" s="133" t="s">
        <v>191</v>
      </c>
      <c r="B44" s="133"/>
      <c r="C44" s="459">
        <f t="shared" ref="C44:I44" si="32">C41-C42</f>
        <v>0</v>
      </c>
      <c r="D44" s="459">
        <f t="shared" si="32"/>
        <v>0</v>
      </c>
      <c r="E44" s="459">
        <f t="shared" si="32"/>
        <v>0</v>
      </c>
      <c r="F44" s="459">
        <f t="shared" si="32"/>
        <v>0</v>
      </c>
      <c r="G44" s="459">
        <f t="shared" si="32"/>
        <v>0</v>
      </c>
      <c r="H44" s="459">
        <f t="shared" si="32"/>
        <v>0</v>
      </c>
      <c r="I44" s="459">
        <f t="shared" si="32"/>
        <v>0</v>
      </c>
      <c r="J44" s="84"/>
      <c r="K44" s="459">
        <f t="shared" ref="K44:Q44" si="33">K41-K42</f>
        <v>0</v>
      </c>
      <c r="L44" s="459">
        <f t="shared" si="33"/>
        <v>0</v>
      </c>
      <c r="M44" s="459">
        <f t="shared" si="33"/>
        <v>0</v>
      </c>
      <c r="N44" s="459">
        <f t="shared" si="33"/>
        <v>0</v>
      </c>
      <c r="O44" s="459">
        <f t="shared" si="33"/>
        <v>0</v>
      </c>
      <c r="P44" s="459">
        <f t="shared" si="33"/>
        <v>0</v>
      </c>
      <c r="Q44" s="459">
        <f t="shared" si="33"/>
        <v>0</v>
      </c>
    </row>
    <row r="45" spans="1:17" hidden="1">
      <c r="A45" s="133"/>
      <c r="B45" s="133"/>
      <c r="C45" s="459"/>
      <c r="D45" s="459"/>
      <c r="E45" s="459"/>
      <c r="F45" s="459"/>
      <c r="G45" s="459"/>
      <c r="H45" s="459"/>
      <c r="I45" s="459"/>
      <c r="J45" s="84"/>
      <c r="K45" s="459"/>
      <c r="L45" s="459"/>
      <c r="M45" s="459"/>
      <c r="N45" s="459"/>
      <c r="O45" s="459"/>
      <c r="P45" s="459"/>
      <c r="Q45" s="459"/>
    </row>
    <row r="46" spans="1:17" hidden="1">
      <c r="A46" s="134" t="s">
        <v>155</v>
      </c>
      <c r="B46" s="134"/>
      <c r="C46" s="459"/>
      <c r="D46" s="459"/>
      <c r="E46" s="459"/>
      <c r="F46" s="459"/>
      <c r="G46" s="459"/>
      <c r="H46" s="459"/>
      <c r="I46" s="459"/>
      <c r="J46" s="84"/>
      <c r="K46" s="459"/>
      <c r="L46" s="459"/>
      <c r="M46" s="459"/>
      <c r="N46" s="459"/>
      <c r="O46" s="459"/>
      <c r="P46" s="459"/>
      <c r="Q46" s="459"/>
    </row>
    <row r="47" spans="1:17" hidden="1">
      <c r="A47" s="133" t="s">
        <v>189</v>
      </c>
      <c r="B47" s="133"/>
      <c r="C47" s="459">
        <f>'1.Project Cost and MOF'!D9</f>
        <v>0</v>
      </c>
      <c r="D47" s="459">
        <f t="shared" ref="D47:I47" si="34">C50</f>
        <v>0</v>
      </c>
      <c r="E47" s="459">
        <f t="shared" si="34"/>
        <v>0</v>
      </c>
      <c r="F47" s="459">
        <f t="shared" si="34"/>
        <v>0</v>
      </c>
      <c r="G47" s="459">
        <f t="shared" si="34"/>
        <v>0</v>
      </c>
      <c r="H47" s="459">
        <f t="shared" si="34"/>
        <v>0</v>
      </c>
      <c r="I47" s="459">
        <f t="shared" si="34"/>
        <v>0</v>
      </c>
      <c r="J47" s="84"/>
      <c r="K47" s="459">
        <f>C47</f>
        <v>0</v>
      </c>
      <c r="L47" s="459">
        <f t="shared" ref="L47:Q47" si="35">K50</f>
        <v>0</v>
      </c>
      <c r="M47" s="459">
        <f t="shared" si="35"/>
        <v>0</v>
      </c>
      <c r="N47" s="459">
        <f t="shared" si="35"/>
        <v>0</v>
      </c>
      <c r="O47" s="459">
        <f t="shared" si="35"/>
        <v>0</v>
      </c>
      <c r="P47" s="459">
        <f t="shared" si="35"/>
        <v>0</v>
      </c>
      <c r="Q47" s="459">
        <f t="shared" si="35"/>
        <v>0</v>
      </c>
    </row>
    <row r="48" spans="1:17" hidden="1">
      <c r="A48" s="133" t="s">
        <v>16</v>
      </c>
      <c r="B48" s="133"/>
      <c r="C48" s="459">
        <f t="shared" ref="C48:I48" si="36">$C$47*$B$69</f>
        <v>0</v>
      </c>
      <c r="D48" s="459">
        <f t="shared" si="36"/>
        <v>0</v>
      </c>
      <c r="E48" s="459">
        <f t="shared" si="36"/>
        <v>0</v>
      </c>
      <c r="F48" s="459">
        <f t="shared" si="36"/>
        <v>0</v>
      </c>
      <c r="G48" s="459">
        <f t="shared" si="36"/>
        <v>0</v>
      </c>
      <c r="H48" s="459">
        <f t="shared" si="36"/>
        <v>0</v>
      </c>
      <c r="I48" s="459">
        <f t="shared" si="36"/>
        <v>0</v>
      </c>
      <c r="J48" s="84"/>
      <c r="K48" s="459">
        <f t="shared" ref="K48:Q48" si="37">K47*$C$69</f>
        <v>0</v>
      </c>
      <c r="L48" s="459">
        <f t="shared" si="37"/>
        <v>0</v>
      </c>
      <c r="M48" s="459">
        <f t="shared" si="37"/>
        <v>0</v>
      </c>
      <c r="N48" s="459">
        <f t="shared" si="37"/>
        <v>0</v>
      </c>
      <c r="O48" s="459">
        <f t="shared" si="37"/>
        <v>0</v>
      </c>
      <c r="P48" s="459">
        <f t="shared" si="37"/>
        <v>0</v>
      </c>
      <c r="Q48" s="459">
        <f t="shared" si="37"/>
        <v>0</v>
      </c>
    </row>
    <row r="49" spans="1:17" hidden="1">
      <c r="A49" s="133" t="s">
        <v>190</v>
      </c>
      <c r="B49" s="133"/>
      <c r="C49" s="459">
        <f>C48</f>
        <v>0</v>
      </c>
      <c r="D49" s="459">
        <f t="shared" ref="D49:I49" si="38">C49+D48</f>
        <v>0</v>
      </c>
      <c r="E49" s="459">
        <f t="shared" si="38"/>
        <v>0</v>
      </c>
      <c r="F49" s="459">
        <f t="shared" si="38"/>
        <v>0</v>
      </c>
      <c r="G49" s="459">
        <f t="shared" si="38"/>
        <v>0</v>
      </c>
      <c r="H49" s="459">
        <f t="shared" si="38"/>
        <v>0</v>
      </c>
      <c r="I49" s="459">
        <f t="shared" si="38"/>
        <v>0</v>
      </c>
      <c r="J49" s="84"/>
      <c r="K49" s="459">
        <f>K48</f>
        <v>0</v>
      </c>
      <c r="L49" s="459">
        <f t="shared" ref="L49:Q49" si="39">K49+L48</f>
        <v>0</v>
      </c>
      <c r="M49" s="459">
        <f t="shared" si="39"/>
        <v>0</v>
      </c>
      <c r="N49" s="459">
        <f t="shared" si="39"/>
        <v>0</v>
      </c>
      <c r="O49" s="459">
        <f t="shared" si="39"/>
        <v>0</v>
      </c>
      <c r="P49" s="459">
        <f t="shared" si="39"/>
        <v>0</v>
      </c>
      <c r="Q49" s="459">
        <f t="shared" si="39"/>
        <v>0</v>
      </c>
    </row>
    <row r="50" spans="1:17" hidden="1">
      <c r="A50" s="133" t="s">
        <v>191</v>
      </c>
      <c r="B50" s="133"/>
      <c r="C50" s="459">
        <f t="shared" ref="C50:I50" si="40">C47-C48</f>
        <v>0</v>
      </c>
      <c r="D50" s="459">
        <f t="shared" si="40"/>
        <v>0</v>
      </c>
      <c r="E50" s="459">
        <f t="shared" si="40"/>
        <v>0</v>
      </c>
      <c r="F50" s="459">
        <f t="shared" si="40"/>
        <v>0</v>
      </c>
      <c r="G50" s="459">
        <f t="shared" si="40"/>
        <v>0</v>
      </c>
      <c r="H50" s="459">
        <f t="shared" si="40"/>
        <v>0</v>
      </c>
      <c r="I50" s="459">
        <f t="shared" si="40"/>
        <v>0</v>
      </c>
      <c r="J50" s="84"/>
      <c r="K50" s="459">
        <f t="shared" ref="K50:Q50" si="41">K47-K48</f>
        <v>0</v>
      </c>
      <c r="L50" s="459">
        <f t="shared" si="41"/>
        <v>0</v>
      </c>
      <c r="M50" s="459">
        <f t="shared" si="41"/>
        <v>0</v>
      </c>
      <c r="N50" s="459">
        <f t="shared" si="41"/>
        <v>0</v>
      </c>
      <c r="O50" s="459">
        <f t="shared" si="41"/>
        <v>0</v>
      </c>
      <c r="P50" s="459">
        <f t="shared" si="41"/>
        <v>0</v>
      </c>
      <c r="Q50" s="459">
        <f t="shared" si="41"/>
        <v>0</v>
      </c>
    </row>
    <row r="51" spans="1:17" hidden="1">
      <c r="A51" s="133"/>
      <c r="B51" s="133"/>
      <c r="C51" s="459"/>
      <c r="D51" s="459"/>
      <c r="E51" s="459"/>
      <c r="F51" s="459"/>
      <c r="G51" s="459"/>
      <c r="H51" s="459"/>
      <c r="I51" s="459"/>
      <c r="J51" s="84"/>
      <c r="K51" s="459"/>
      <c r="L51" s="459"/>
      <c r="M51" s="459"/>
      <c r="N51" s="459"/>
      <c r="O51" s="459"/>
      <c r="P51" s="459"/>
      <c r="Q51" s="459"/>
    </row>
    <row r="52" spans="1:17" hidden="1">
      <c r="A52" s="289" t="s">
        <v>318</v>
      </c>
      <c r="B52" s="133"/>
      <c r="C52" s="459"/>
      <c r="D52" s="459"/>
      <c r="E52" s="459"/>
      <c r="F52" s="459"/>
      <c r="G52" s="459"/>
      <c r="H52" s="459"/>
      <c r="I52" s="459"/>
      <c r="J52" s="84"/>
      <c r="K52" s="459"/>
      <c r="L52" s="459"/>
      <c r="M52" s="459"/>
      <c r="N52" s="459"/>
      <c r="O52" s="459"/>
      <c r="P52" s="459"/>
      <c r="Q52" s="459"/>
    </row>
    <row r="53" spans="1:17" hidden="1">
      <c r="A53" s="133" t="str">
        <f>A47</f>
        <v>Asset Value</v>
      </c>
      <c r="B53" s="133"/>
      <c r="C53" s="459">
        <f>'1.Project Cost and MOF'!D8</f>
        <v>0</v>
      </c>
      <c r="D53" s="459">
        <f t="shared" ref="D53:I53" si="42">C56</f>
        <v>0</v>
      </c>
      <c r="E53" s="459">
        <f t="shared" si="42"/>
        <v>0</v>
      </c>
      <c r="F53" s="459">
        <f t="shared" si="42"/>
        <v>0</v>
      </c>
      <c r="G53" s="459">
        <f t="shared" si="42"/>
        <v>0</v>
      </c>
      <c r="H53" s="459">
        <f t="shared" si="42"/>
        <v>0</v>
      </c>
      <c r="I53" s="459">
        <f t="shared" si="42"/>
        <v>0</v>
      </c>
      <c r="J53" s="84"/>
      <c r="K53" s="459">
        <f>C53</f>
        <v>0</v>
      </c>
      <c r="L53" s="459">
        <f t="shared" ref="L53:Q53" si="43">K56</f>
        <v>0</v>
      </c>
      <c r="M53" s="459">
        <f t="shared" si="43"/>
        <v>0</v>
      </c>
      <c r="N53" s="459">
        <f t="shared" si="43"/>
        <v>0</v>
      </c>
      <c r="O53" s="459">
        <f t="shared" si="43"/>
        <v>0</v>
      </c>
      <c r="P53" s="459">
        <f t="shared" si="43"/>
        <v>0</v>
      </c>
      <c r="Q53" s="459">
        <f t="shared" si="43"/>
        <v>0</v>
      </c>
    </row>
    <row r="54" spans="1:17" hidden="1">
      <c r="A54" s="133" t="str">
        <f>A48</f>
        <v>Depreciation</v>
      </c>
      <c r="B54" s="133"/>
      <c r="C54" s="459">
        <f t="shared" ref="C54:I54" si="44">$C$53*$B$68</f>
        <v>0</v>
      </c>
      <c r="D54" s="459">
        <f t="shared" si="44"/>
        <v>0</v>
      </c>
      <c r="E54" s="459">
        <f t="shared" si="44"/>
        <v>0</v>
      </c>
      <c r="F54" s="459">
        <f t="shared" si="44"/>
        <v>0</v>
      </c>
      <c r="G54" s="459">
        <f t="shared" si="44"/>
        <v>0</v>
      </c>
      <c r="H54" s="459">
        <f t="shared" si="44"/>
        <v>0</v>
      </c>
      <c r="I54" s="459">
        <f t="shared" si="44"/>
        <v>0</v>
      </c>
      <c r="J54" s="84"/>
      <c r="K54" s="459">
        <f t="shared" ref="K54:Q54" si="45">K53*$C$68</f>
        <v>0</v>
      </c>
      <c r="L54" s="459">
        <f t="shared" si="45"/>
        <v>0</v>
      </c>
      <c r="M54" s="459">
        <f t="shared" si="45"/>
        <v>0</v>
      </c>
      <c r="N54" s="459">
        <f t="shared" si="45"/>
        <v>0</v>
      </c>
      <c r="O54" s="459">
        <f t="shared" si="45"/>
        <v>0</v>
      </c>
      <c r="P54" s="459">
        <f t="shared" si="45"/>
        <v>0</v>
      </c>
      <c r="Q54" s="459">
        <f t="shared" si="45"/>
        <v>0</v>
      </c>
    </row>
    <row r="55" spans="1:17" hidden="1">
      <c r="A55" s="133" t="str">
        <f>A49</f>
        <v>Accumulated Depreciation</v>
      </c>
      <c r="B55" s="133"/>
      <c r="C55" s="459">
        <f>C54</f>
        <v>0</v>
      </c>
      <c r="D55" s="459">
        <f t="shared" ref="D55:I55" si="46">D54+C55</f>
        <v>0</v>
      </c>
      <c r="E55" s="459">
        <f t="shared" si="46"/>
        <v>0</v>
      </c>
      <c r="F55" s="459">
        <f t="shared" si="46"/>
        <v>0</v>
      </c>
      <c r="G55" s="459">
        <f t="shared" si="46"/>
        <v>0</v>
      </c>
      <c r="H55" s="459">
        <f t="shared" si="46"/>
        <v>0</v>
      </c>
      <c r="I55" s="459">
        <f t="shared" si="46"/>
        <v>0</v>
      </c>
      <c r="J55" s="84"/>
      <c r="K55" s="459">
        <f>K54</f>
        <v>0</v>
      </c>
      <c r="L55" s="459">
        <f t="shared" ref="L55:Q55" si="47">L54+K55</f>
        <v>0</v>
      </c>
      <c r="M55" s="459">
        <f t="shared" si="47"/>
        <v>0</v>
      </c>
      <c r="N55" s="459">
        <f t="shared" si="47"/>
        <v>0</v>
      </c>
      <c r="O55" s="459">
        <f t="shared" si="47"/>
        <v>0</v>
      </c>
      <c r="P55" s="459">
        <f t="shared" si="47"/>
        <v>0</v>
      </c>
      <c r="Q55" s="459">
        <f t="shared" si="47"/>
        <v>0</v>
      </c>
    </row>
    <row r="56" spans="1:17" hidden="1">
      <c r="A56" s="133" t="str">
        <f>A50</f>
        <v>Net Fixed Assets</v>
      </c>
      <c r="B56" s="133"/>
      <c r="C56" s="459">
        <f t="shared" ref="C56:I56" si="48">C53-C54</f>
        <v>0</v>
      </c>
      <c r="D56" s="459">
        <f t="shared" si="48"/>
        <v>0</v>
      </c>
      <c r="E56" s="459">
        <f t="shared" si="48"/>
        <v>0</v>
      </c>
      <c r="F56" s="459">
        <f t="shared" si="48"/>
        <v>0</v>
      </c>
      <c r="G56" s="459">
        <f t="shared" si="48"/>
        <v>0</v>
      </c>
      <c r="H56" s="459">
        <f t="shared" si="48"/>
        <v>0</v>
      </c>
      <c r="I56" s="459">
        <f t="shared" si="48"/>
        <v>0</v>
      </c>
      <c r="J56" s="84"/>
      <c r="K56" s="459">
        <f t="shared" ref="K56:Q56" si="49">K53-K54</f>
        <v>0</v>
      </c>
      <c r="L56" s="459">
        <f t="shared" si="49"/>
        <v>0</v>
      </c>
      <c r="M56" s="459">
        <f t="shared" si="49"/>
        <v>0</v>
      </c>
      <c r="N56" s="459">
        <f t="shared" si="49"/>
        <v>0</v>
      </c>
      <c r="O56" s="459">
        <f t="shared" si="49"/>
        <v>0</v>
      </c>
      <c r="P56" s="459">
        <f t="shared" si="49"/>
        <v>0</v>
      </c>
      <c r="Q56" s="459">
        <f t="shared" si="49"/>
        <v>0</v>
      </c>
    </row>
    <row r="57" spans="1:17">
      <c r="A57" s="134" t="s">
        <v>195</v>
      </c>
      <c r="B57" s="134"/>
      <c r="C57" s="460">
        <f t="shared" ref="C57:I60" si="50">C41+C35+C29+C47+C53</f>
        <v>319.41000000000003</v>
      </c>
      <c r="D57" s="460">
        <f t="shared" si="50"/>
        <v>304.72324300000002</v>
      </c>
      <c r="E57" s="460">
        <f t="shared" si="50"/>
        <v>290.03648600000002</v>
      </c>
      <c r="F57" s="460">
        <f t="shared" si="50"/>
        <v>275.34972900000002</v>
      </c>
      <c r="G57" s="460">
        <f t="shared" si="50"/>
        <v>260.66297200000008</v>
      </c>
      <c r="H57" s="460">
        <f t="shared" si="50"/>
        <v>245.97621500000008</v>
      </c>
      <c r="I57" s="460">
        <f t="shared" si="50"/>
        <v>231.28945800000008</v>
      </c>
      <c r="J57" s="84"/>
      <c r="K57" s="460">
        <f t="shared" ref="K57:Q60" si="51">K41+K35+K29+K47+K53</f>
        <v>319.41000000000003</v>
      </c>
      <c r="L57" s="460">
        <f t="shared" si="51"/>
        <v>280.25150000000002</v>
      </c>
      <c r="M57" s="460">
        <f t="shared" si="51"/>
        <v>246.091475</v>
      </c>
      <c r="N57" s="460">
        <f t="shared" si="51"/>
        <v>216.26768375</v>
      </c>
      <c r="O57" s="460">
        <f t="shared" si="51"/>
        <v>190.20846818749999</v>
      </c>
      <c r="P57" s="460">
        <f t="shared" si="51"/>
        <v>167.42004125937501</v>
      </c>
      <c r="Q57" s="460">
        <f t="shared" si="51"/>
        <v>147.47559404046876</v>
      </c>
    </row>
    <row r="58" spans="1:17">
      <c r="A58" s="134" t="s">
        <v>196</v>
      </c>
      <c r="B58" s="134"/>
      <c r="C58" s="460">
        <f t="shared" si="50"/>
        <v>14.686757</v>
      </c>
      <c r="D58" s="460">
        <f t="shared" si="50"/>
        <v>14.686757</v>
      </c>
      <c r="E58" s="460">
        <f t="shared" si="50"/>
        <v>14.686757</v>
      </c>
      <c r="F58" s="460">
        <f t="shared" si="50"/>
        <v>14.686757</v>
      </c>
      <c r="G58" s="460">
        <f t="shared" si="50"/>
        <v>14.686757</v>
      </c>
      <c r="H58" s="460">
        <f t="shared" si="50"/>
        <v>14.686757</v>
      </c>
      <c r="I58" s="460">
        <f t="shared" si="50"/>
        <v>14.686757</v>
      </c>
      <c r="J58" s="84"/>
      <c r="K58" s="460">
        <f t="shared" si="51"/>
        <v>39.158500000000004</v>
      </c>
      <c r="L58" s="460">
        <f t="shared" si="51"/>
        <v>34.160025000000005</v>
      </c>
      <c r="M58" s="460">
        <f t="shared" si="51"/>
        <v>29.823791249999999</v>
      </c>
      <c r="N58" s="460">
        <f t="shared" si="51"/>
        <v>26.0592155625</v>
      </c>
      <c r="O58" s="460">
        <f t="shared" si="51"/>
        <v>22.788426928125002</v>
      </c>
      <c r="P58" s="460">
        <f t="shared" si="51"/>
        <v>19.944447218906248</v>
      </c>
      <c r="Q58" s="460">
        <f t="shared" si="51"/>
        <v>17.469636033070312</v>
      </c>
    </row>
    <row r="59" spans="1:17">
      <c r="A59" s="134" t="s">
        <v>197</v>
      </c>
      <c r="B59" s="134"/>
      <c r="C59" s="460">
        <f t="shared" si="50"/>
        <v>14.686757</v>
      </c>
      <c r="D59" s="460">
        <f t="shared" si="50"/>
        <v>29.373514</v>
      </c>
      <c r="E59" s="460">
        <f t="shared" si="50"/>
        <v>44.060271</v>
      </c>
      <c r="F59" s="460">
        <f t="shared" si="50"/>
        <v>58.747028</v>
      </c>
      <c r="G59" s="460">
        <f t="shared" si="50"/>
        <v>73.433785</v>
      </c>
      <c r="H59" s="460">
        <f t="shared" si="50"/>
        <v>88.120542</v>
      </c>
      <c r="I59" s="460">
        <f t="shared" si="50"/>
        <v>102.807299</v>
      </c>
      <c r="J59" s="84"/>
      <c r="K59" s="460">
        <f t="shared" si="51"/>
        <v>39.158500000000004</v>
      </c>
      <c r="L59" s="460">
        <f t="shared" si="51"/>
        <v>73.318525000000008</v>
      </c>
      <c r="M59" s="460">
        <f t="shared" si="51"/>
        <v>103.14231625000001</v>
      </c>
      <c r="N59" s="460">
        <f t="shared" si="51"/>
        <v>129.20153181250001</v>
      </c>
      <c r="O59" s="460">
        <f t="shared" si="51"/>
        <v>151.98995874062501</v>
      </c>
      <c r="P59" s="460">
        <f t="shared" si="51"/>
        <v>171.93440595953126</v>
      </c>
      <c r="Q59" s="460">
        <f t="shared" si="51"/>
        <v>189.40404199260155</v>
      </c>
    </row>
    <row r="60" spans="1:17">
      <c r="A60" s="134" t="s">
        <v>191</v>
      </c>
      <c r="B60" s="134"/>
      <c r="C60" s="460">
        <f t="shared" si="50"/>
        <v>304.72324300000002</v>
      </c>
      <c r="D60" s="460">
        <f t="shared" si="50"/>
        <v>290.03648600000002</v>
      </c>
      <c r="E60" s="460">
        <f t="shared" si="50"/>
        <v>275.34972900000002</v>
      </c>
      <c r="F60" s="460">
        <f t="shared" si="50"/>
        <v>260.66297200000008</v>
      </c>
      <c r="G60" s="460">
        <f t="shared" si="50"/>
        <v>245.97621500000008</v>
      </c>
      <c r="H60" s="460">
        <f t="shared" si="50"/>
        <v>231.28945800000008</v>
      </c>
      <c r="I60" s="460">
        <f t="shared" si="50"/>
        <v>216.60270100000011</v>
      </c>
      <c r="J60" s="84"/>
      <c r="K60" s="460">
        <f t="shared" si="51"/>
        <v>280.25150000000002</v>
      </c>
      <c r="L60" s="460">
        <f t="shared" si="51"/>
        <v>246.091475</v>
      </c>
      <c r="M60" s="460">
        <f t="shared" si="51"/>
        <v>216.26768375</v>
      </c>
      <c r="N60" s="460">
        <f t="shared" si="51"/>
        <v>190.20846818749999</v>
      </c>
      <c r="O60" s="460">
        <f t="shared" si="51"/>
        <v>167.42004125937501</v>
      </c>
      <c r="P60" s="460">
        <f t="shared" si="51"/>
        <v>147.47559404046876</v>
      </c>
      <c r="Q60" s="460">
        <f t="shared" si="51"/>
        <v>130.00595800739842</v>
      </c>
    </row>
    <row r="61" spans="1:17">
      <c r="A61" s="137"/>
      <c r="B61" s="137"/>
      <c r="C61" s="461"/>
      <c r="D61" s="461"/>
      <c r="E61" s="461"/>
      <c r="F61" s="461"/>
      <c r="G61" s="461"/>
      <c r="H61" s="461"/>
      <c r="I61" s="461"/>
      <c r="J61" s="79"/>
    </row>
    <row r="62" spans="1:17">
      <c r="A62" s="79"/>
      <c r="B62" s="79"/>
      <c r="C62" s="462"/>
      <c r="D62" s="462"/>
      <c r="E62" s="462"/>
      <c r="F62" s="462"/>
      <c r="G62" s="462"/>
      <c r="H62" s="462"/>
      <c r="I62" s="462"/>
      <c r="J62" s="79"/>
    </row>
    <row r="63" spans="1:17" ht="29.25">
      <c r="A63" s="138" t="s">
        <v>198</v>
      </c>
      <c r="B63" s="139" t="s">
        <v>199</v>
      </c>
      <c r="C63" s="463" t="s">
        <v>200</v>
      </c>
      <c r="D63" s="462"/>
      <c r="E63" s="462"/>
      <c r="F63" s="462"/>
      <c r="G63" s="462"/>
      <c r="H63" s="462"/>
      <c r="I63" s="462"/>
      <c r="J63" s="79"/>
    </row>
    <row r="64" spans="1:17" ht="29.25">
      <c r="A64" s="140" t="s">
        <v>201</v>
      </c>
      <c r="B64" s="139" t="s">
        <v>202</v>
      </c>
      <c r="C64" s="463" t="s">
        <v>203</v>
      </c>
      <c r="D64" s="462"/>
      <c r="E64" s="462"/>
      <c r="F64" s="462"/>
      <c r="G64" s="462"/>
      <c r="H64" s="462"/>
      <c r="I64" s="462"/>
      <c r="J64" s="79"/>
    </row>
    <row r="65" spans="1:18">
      <c r="A65" s="140" t="s">
        <v>143</v>
      </c>
      <c r="B65" s="141">
        <v>0</v>
      </c>
      <c r="C65" s="147">
        <v>0</v>
      </c>
      <c r="D65" s="462"/>
      <c r="E65" s="462"/>
      <c r="F65" s="462"/>
      <c r="G65" s="462"/>
      <c r="H65" s="462"/>
      <c r="I65" s="462"/>
      <c r="J65" s="79"/>
    </row>
    <row r="66" spans="1:18">
      <c r="A66" s="142" t="s">
        <v>192</v>
      </c>
      <c r="B66" s="141">
        <v>3.1699999999999999E-2</v>
      </c>
      <c r="C66" s="147">
        <v>0.1</v>
      </c>
      <c r="D66" s="462"/>
      <c r="E66" s="462"/>
      <c r="F66" s="462"/>
      <c r="G66" s="462"/>
      <c r="H66" s="462"/>
      <c r="I66" s="462"/>
      <c r="J66" s="79"/>
    </row>
    <row r="67" spans="1:18">
      <c r="A67" s="142" t="s">
        <v>194</v>
      </c>
      <c r="B67" s="144">
        <v>0.1</v>
      </c>
      <c r="C67" s="147">
        <v>0.1</v>
      </c>
      <c r="D67" s="462"/>
      <c r="E67" s="462"/>
      <c r="F67" s="462"/>
      <c r="G67" s="462"/>
      <c r="H67" s="462"/>
      <c r="I67" s="462"/>
      <c r="J67" s="79"/>
    </row>
    <row r="68" spans="1:18">
      <c r="A68" s="79" t="s">
        <v>204</v>
      </c>
      <c r="B68" s="144">
        <v>0.1</v>
      </c>
      <c r="C68" s="464">
        <v>0.4</v>
      </c>
      <c r="D68" s="462"/>
      <c r="E68" s="462"/>
      <c r="F68" s="462"/>
      <c r="G68" s="462"/>
      <c r="H68" s="462"/>
      <c r="I68" s="462"/>
      <c r="J68" s="79"/>
    </row>
    <row r="69" spans="1:18">
      <c r="A69" s="79" t="s">
        <v>268</v>
      </c>
      <c r="B69" s="144">
        <v>0.1188</v>
      </c>
      <c r="C69" s="464">
        <v>0.15</v>
      </c>
      <c r="D69" s="462"/>
      <c r="E69" s="462"/>
      <c r="F69" s="462"/>
      <c r="G69" s="462"/>
      <c r="H69" s="462"/>
      <c r="I69" s="462"/>
      <c r="J69" s="79"/>
    </row>
    <row r="70" spans="1:18">
      <c r="A70" s="142" t="s">
        <v>205</v>
      </c>
      <c r="B70" s="144">
        <v>6.3299999999999995E-2</v>
      </c>
      <c r="C70" s="464">
        <v>0.15</v>
      </c>
      <c r="D70" s="462"/>
      <c r="E70" s="462"/>
      <c r="F70" s="462"/>
      <c r="G70" s="462"/>
      <c r="H70" s="462"/>
      <c r="I70" s="462"/>
      <c r="J70" s="79"/>
    </row>
    <row r="71" spans="1:18" ht="29.25">
      <c r="A71" s="140" t="s">
        <v>198</v>
      </c>
      <c r="B71" s="141"/>
      <c r="C71" s="147"/>
      <c r="D71" s="462"/>
      <c r="E71" s="462"/>
      <c r="F71" s="462"/>
      <c r="G71" s="462"/>
      <c r="H71" s="462"/>
      <c r="I71" s="462"/>
      <c r="J71" s="79"/>
    </row>
    <row r="72" spans="1:18">
      <c r="A72" s="142" t="s">
        <v>206</v>
      </c>
      <c r="B72" s="145">
        <v>0.2</v>
      </c>
      <c r="C72" s="465">
        <v>0.2</v>
      </c>
      <c r="D72" s="462"/>
      <c r="E72" s="462"/>
      <c r="F72" s="462"/>
      <c r="G72" s="462"/>
      <c r="H72" s="462"/>
      <c r="I72" s="462"/>
      <c r="J72" s="79"/>
    </row>
    <row r="73" spans="1:18">
      <c r="A73" s="79"/>
      <c r="B73" s="79"/>
      <c r="C73" s="462"/>
      <c r="D73" s="462"/>
      <c r="E73" s="462"/>
      <c r="F73" s="462"/>
      <c r="G73" s="462"/>
      <c r="H73" s="462"/>
      <c r="I73" s="462"/>
      <c r="J73" s="79"/>
    </row>
    <row r="74" spans="1:18">
      <c r="A74" s="79"/>
      <c r="B74" s="79"/>
      <c r="C74" s="462"/>
      <c r="D74" s="462"/>
      <c r="E74" s="466"/>
      <c r="F74" s="462"/>
      <c r="G74" s="462"/>
      <c r="H74" s="462"/>
      <c r="I74" s="462"/>
      <c r="J74" s="79"/>
    </row>
    <row r="75" spans="1:18" s="54" customFormat="1" ht="18.75">
      <c r="A75" s="703" t="s">
        <v>525</v>
      </c>
      <c r="B75" s="703"/>
      <c r="C75" s="703"/>
      <c r="D75" s="703"/>
      <c r="E75" s="703"/>
      <c r="F75" s="703"/>
      <c r="G75" s="703"/>
      <c r="H75" s="703"/>
      <c r="I75" s="703"/>
      <c r="J75" s="703"/>
      <c r="K75" s="467"/>
      <c r="L75" s="467"/>
      <c r="M75" s="467"/>
      <c r="N75" s="467"/>
      <c r="O75" s="467"/>
      <c r="P75" s="467"/>
      <c r="Q75" s="467"/>
      <c r="R75" s="467"/>
    </row>
    <row r="76" spans="1:18" s="54" customFormat="1">
      <c r="A76" s="33"/>
      <c r="B76" s="33"/>
      <c r="C76" s="467"/>
      <c r="D76" s="467"/>
      <c r="E76" s="467"/>
      <c r="F76" s="467"/>
      <c r="G76" s="467"/>
      <c r="H76" s="467"/>
      <c r="I76" s="467"/>
      <c r="K76" s="467"/>
      <c r="L76" s="467"/>
      <c r="M76" s="467"/>
      <c r="N76" s="467"/>
      <c r="O76" s="467"/>
      <c r="P76" s="467"/>
      <c r="Q76" s="467"/>
      <c r="R76" s="467"/>
    </row>
    <row r="77" spans="1:18" s="54" customFormat="1">
      <c r="A77" s="125" t="s">
        <v>0</v>
      </c>
      <c r="B77" s="126" t="s">
        <v>328</v>
      </c>
      <c r="C77" s="468" t="s">
        <v>2</v>
      </c>
      <c r="D77" s="468" t="s">
        <v>3</v>
      </c>
      <c r="E77" s="468" t="s">
        <v>4</v>
      </c>
      <c r="F77" s="468" t="s">
        <v>5</v>
      </c>
      <c r="G77" s="468" t="s">
        <v>6</v>
      </c>
      <c r="H77" s="468" t="s">
        <v>164</v>
      </c>
      <c r="I77" s="468" t="s">
        <v>163</v>
      </c>
      <c r="J77" s="35"/>
      <c r="K77" s="471"/>
      <c r="L77" s="471"/>
      <c r="M77" s="467"/>
      <c r="N77" s="467"/>
      <c r="O77" s="467"/>
      <c r="P77" s="467"/>
      <c r="Q77" s="467"/>
      <c r="R77" s="467"/>
    </row>
    <row r="78" spans="1:18" s="54" customFormat="1">
      <c r="A78" s="127" t="s">
        <v>247</v>
      </c>
      <c r="B78" s="128">
        <v>7</v>
      </c>
      <c r="C78" s="469">
        <f>'1.Project Cost and MOF'!$D$10/$B$78</f>
        <v>2.2815000000000003</v>
      </c>
      <c r="D78" s="469">
        <f>'1.Project Cost and MOF'!$D$10/$B$78</f>
        <v>2.2815000000000003</v>
      </c>
      <c r="E78" s="469">
        <f>'1.Project Cost and MOF'!$D$10/$B$78</f>
        <v>2.2815000000000003</v>
      </c>
      <c r="F78" s="469">
        <f>'1.Project Cost and MOF'!$D$10/$B$78</f>
        <v>2.2815000000000003</v>
      </c>
      <c r="G78" s="469">
        <f>'1.Project Cost and MOF'!$D$10/$B$78</f>
        <v>2.2815000000000003</v>
      </c>
      <c r="H78" s="469">
        <f>'1.Project Cost and MOF'!$D$10/$B$78</f>
        <v>2.2815000000000003</v>
      </c>
      <c r="I78" s="469">
        <f>'1.Project Cost and MOF'!$D$10/$B$78</f>
        <v>2.2815000000000003</v>
      </c>
      <c r="J78" s="35"/>
      <c r="K78" s="471"/>
      <c r="L78" s="471"/>
      <c r="M78" s="467"/>
      <c r="N78" s="467"/>
      <c r="O78" s="467"/>
      <c r="P78" s="467"/>
      <c r="Q78" s="467"/>
      <c r="R78" s="467"/>
    </row>
    <row r="79" spans="1:18" s="54" customFormat="1">
      <c r="A79" s="129" t="s">
        <v>329</v>
      </c>
      <c r="B79" s="130"/>
      <c r="C79" s="470">
        <f t="shared" ref="C79:I79" si="52">SUM(C77:C78)</f>
        <v>2.2815000000000003</v>
      </c>
      <c r="D79" s="470">
        <f t="shared" si="52"/>
        <v>2.2815000000000003</v>
      </c>
      <c r="E79" s="470">
        <f t="shared" si="52"/>
        <v>2.2815000000000003</v>
      </c>
      <c r="F79" s="470">
        <f t="shared" si="52"/>
        <v>2.2815000000000003</v>
      </c>
      <c r="G79" s="470">
        <f t="shared" si="52"/>
        <v>2.2815000000000003</v>
      </c>
      <c r="H79" s="470">
        <f t="shared" si="52"/>
        <v>2.2815000000000003</v>
      </c>
      <c r="I79" s="470">
        <f t="shared" si="52"/>
        <v>2.2815000000000003</v>
      </c>
      <c r="J79" s="55"/>
      <c r="K79" s="481"/>
      <c r="L79" s="481"/>
      <c r="M79" s="467"/>
      <c r="N79" s="467"/>
      <c r="O79" s="467"/>
      <c r="P79" s="467"/>
      <c r="Q79" s="467"/>
      <c r="R79" s="467"/>
    </row>
    <row r="80" spans="1:18" s="54" customFormat="1">
      <c r="C80" s="471"/>
      <c r="D80" s="471"/>
      <c r="E80" s="471"/>
      <c r="F80" s="471"/>
      <c r="G80" s="471"/>
      <c r="H80" s="471"/>
      <c r="I80" s="471"/>
      <c r="J80" s="35"/>
      <c r="K80" s="471"/>
      <c r="L80" s="471"/>
      <c r="M80" s="467"/>
      <c r="N80" s="467"/>
      <c r="O80" s="467"/>
      <c r="P80" s="467"/>
      <c r="Q80" s="467"/>
      <c r="R80" s="467"/>
    </row>
    <row r="83" spans="1:17">
      <c r="A83" s="31"/>
      <c r="B83" s="32"/>
      <c r="C83" s="472"/>
      <c r="D83" s="472"/>
      <c r="E83" s="472"/>
      <c r="F83" s="472"/>
      <c r="G83" s="472"/>
      <c r="H83" s="472"/>
      <c r="I83" s="472"/>
      <c r="J83" s="32"/>
      <c r="K83" s="472"/>
    </row>
    <row r="84" spans="1:17" ht="18.75">
      <c r="A84" s="755" t="s">
        <v>526</v>
      </c>
      <c r="B84" s="755"/>
      <c r="C84" s="755"/>
      <c r="D84" s="755"/>
      <c r="E84" s="755"/>
      <c r="F84" s="755"/>
      <c r="G84" s="755"/>
      <c r="H84" s="755"/>
      <c r="I84" s="473"/>
      <c r="J84" s="124"/>
      <c r="K84" s="473"/>
      <c r="Q84" s="18">
        <v>10000000</v>
      </c>
    </row>
    <row r="85" spans="1:17">
      <c r="A85" s="33"/>
      <c r="B85" s="32"/>
      <c r="C85" s="472"/>
      <c r="D85" s="472"/>
      <c r="E85" s="472"/>
      <c r="F85" s="472"/>
      <c r="G85" s="472"/>
      <c r="H85" s="472"/>
      <c r="I85" s="472"/>
      <c r="J85" s="32"/>
      <c r="K85" s="472"/>
      <c r="Q85" s="18">
        <f>+Q84*2%</f>
        <v>200000</v>
      </c>
    </row>
    <row r="86" spans="1:17">
      <c r="A86" s="122" t="s">
        <v>0</v>
      </c>
      <c r="B86" s="102" t="s">
        <v>2</v>
      </c>
      <c r="C86" s="474" t="s">
        <v>3</v>
      </c>
      <c r="D86" s="474" t="s">
        <v>4</v>
      </c>
      <c r="E86" s="474" t="s">
        <v>5</v>
      </c>
      <c r="F86" s="474" t="s">
        <v>6</v>
      </c>
      <c r="G86" s="474" t="s">
        <v>164</v>
      </c>
      <c r="H86" s="474" t="s">
        <v>163</v>
      </c>
      <c r="I86" s="475"/>
      <c r="J86" s="26"/>
      <c r="K86" s="475"/>
    </row>
    <row r="87" spans="1:17">
      <c r="A87" s="75" t="s">
        <v>219</v>
      </c>
      <c r="B87" s="486">
        <f>'6.Cons Profit &amp; Loss'!B54</f>
        <v>40.732902665512356</v>
      </c>
      <c r="C87" s="486">
        <f>'6.Cons Profit &amp; Loss'!C54</f>
        <v>56.779000660552882</v>
      </c>
      <c r="D87" s="486">
        <f>'6.Cons Profit &amp; Loss'!D54</f>
        <v>72.764382025391598</v>
      </c>
      <c r="E87" s="486">
        <f>'6.Cons Profit &amp; Loss'!E54</f>
        <v>90.4484518197402</v>
      </c>
      <c r="F87" s="486">
        <f>'6.Cons Profit &amp; Loss'!F54</f>
        <v>108.80169048244323</v>
      </c>
      <c r="G87" s="486">
        <f>'6.Cons Profit &amp; Loss'!G54</f>
        <v>126.14057050820148</v>
      </c>
      <c r="H87" s="486">
        <f>'6.Cons Profit &amp; Loss'!H54</f>
        <v>145.76384242366808</v>
      </c>
      <c r="I87" s="476"/>
      <c r="J87" s="34"/>
      <c r="K87" s="476"/>
    </row>
    <row r="88" spans="1:17">
      <c r="A88" s="75" t="s">
        <v>220</v>
      </c>
      <c r="B88" s="486">
        <f>'6.Cons Profit &amp; Loss'!B46</f>
        <v>14.686757</v>
      </c>
      <c r="C88" s="486">
        <f>'6.Cons Profit &amp; Loss'!C46</f>
        <v>14.686757</v>
      </c>
      <c r="D88" s="486">
        <f>'6.Cons Profit &amp; Loss'!D46</f>
        <v>14.686757</v>
      </c>
      <c r="E88" s="486">
        <f>'6.Cons Profit &amp; Loss'!E46</f>
        <v>14.686757</v>
      </c>
      <c r="F88" s="486">
        <f>'6.Cons Profit &amp; Loss'!F46</f>
        <v>14.686757</v>
      </c>
      <c r="G88" s="486">
        <f>'6.Cons Profit &amp; Loss'!G46</f>
        <v>14.686757</v>
      </c>
      <c r="H88" s="486">
        <f>'6.Cons Profit &amp; Loss'!H46</f>
        <v>14.686757</v>
      </c>
      <c r="I88" s="476"/>
      <c r="J88" s="34"/>
      <c r="K88" s="476"/>
    </row>
    <row r="89" spans="1:17">
      <c r="A89" s="75" t="s">
        <v>221</v>
      </c>
      <c r="B89" s="486">
        <f>'3.Other Exp &amp; Taxes'!K58</f>
        <v>39.158500000000004</v>
      </c>
      <c r="C89" s="486">
        <f>'3.Other Exp &amp; Taxes'!L58</f>
        <v>34.160025000000005</v>
      </c>
      <c r="D89" s="486">
        <f>'3.Other Exp &amp; Taxes'!M58</f>
        <v>29.823791249999999</v>
      </c>
      <c r="E89" s="486">
        <f>'3.Other Exp &amp; Taxes'!N58</f>
        <v>26.0592155625</v>
      </c>
      <c r="F89" s="486">
        <f>'3.Other Exp &amp; Taxes'!O58</f>
        <v>22.788426928125002</v>
      </c>
      <c r="G89" s="486">
        <f>'3.Other Exp &amp; Taxes'!P58</f>
        <v>19.944447218906248</v>
      </c>
      <c r="H89" s="486">
        <f>'3.Other Exp &amp; Taxes'!Q58</f>
        <v>17.469636033070312</v>
      </c>
      <c r="I89" s="476"/>
      <c r="J89" s="34"/>
      <c r="K89" s="476"/>
    </row>
    <row r="90" spans="1:17">
      <c r="A90" s="75" t="s">
        <v>280</v>
      </c>
      <c r="B90" s="486">
        <f t="shared" ref="B90:H90" si="53">B87+B88-B89</f>
        <v>16.261159665512352</v>
      </c>
      <c r="C90" s="486">
        <f t="shared" si="53"/>
        <v>37.305732660552877</v>
      </c>
      <c r="D90" s="486">
        <f t="shared" si="53"/>
        <v>57.627347775391598</v>
      </c>
      <c r="E90" s="486">
        <f t="shared" si="53"/>
        <v>79.075993257240199</v>
      </c>
      <c r="F90" s="486">
        <f t="shared" si="53"/>
        <v>100.70002055431823</v>
      </c>
      <c r="G90" s="486">
        <f t="shared" si="53"/>
        <v>120.88288028929523</v>
      </c>
      <c r="H90" s="486">
        <f t="shared" si="53"/>
        <v>142.98096339059776</v>
      </c>
      <c r="I90" s="476"/>
      <c r="J90" s="34"/>
      <c r="K90" s="476"/>
    </row>
    <row r="91" spans="1:17">
      <c r="A91" s="604" t="s">
        <v>222</v>
      </c>
      <c r="B91" s="605">
        <f>+$B$94*B90</f>
        <v>4.2279015130332116</v>
      </c>
      <c r="C91" s="605">
        <f t="shared" ref="C91:H91" si="54">+$B$94*C90</f>
        <v>9.6994904917437488</v>
      </c>
      <c r="D91" s="605">
        <f t="shared" si="54"/>
        <v>14.983110421601816</v>
      </c>
      <c r="E91" s="605">
        <f t="shared" si="54"/>
        <v>20.559758246882453</v>
      </c>
      <c r="F91" s="605">
        <f t="shared" si="54"/>
        <v>26.182005344122739</v>
      </c>
      <c r="G91" s="605">
        <f t="shared" si="54"/>
        <v>31.42954887521676</v>
      </c>
      <c r="H91" s="605">
        <f t="shared" si="54"/>
        <v>37.175050481555417</v>
      </c>
      <c r="I91" s="476"/>
      <c r="J91" s="34"/>
      <c r="K91" s="476"/>
    </row>
    <row r="92" spans="1:17">
      <c r="A92" s="608"/>
      <c r="B92" s="609"/>
      <c r="C92" s="472"/>
      <c r="D92" s="472"/>
      <c r="E92" s="472"/>
      <c r="F92" s="472"/>
      <c r="G92" s="472"/>
      <c r="H92" s="472"/>
      <c r="I92" s="472"/>
      <c r="J92" s="32"/>
      <c r="K92" s="472"/>
    </row>
    <row r="93" spans="1:17">
      <c r="A93" s="606"/>
      <c r="B93" s="35"/>
      <c r="C93" s="471"/>
      <c r="D93" s="471"/>
      <c r="E93" s="471"/>
      <c r="F93" s="471"/>
      <c r="G93" s="471"/>
      <c r="H93" s="471"/>
      <c r="I93" s="471"/>
      <c r="J93" s="35"/>
      <c r="K93" s="471"/>
    </row>
    <row r="94" spans="1:17">
      <c r="A94" s="607" t="s">
        <v>380</v>
      </c>
      <c r="B94" s="239">
        <v>0.26</v>
      </c>
      <c r="C94" s="471"/>
      <c r="D94" s="471"/>
      <c r="E94" s="471"/>
      <c r="F94" s="471"/>
      <c r="G94" s="471"/>
      <c r="H94" s="471"/>
      <c r="I94" s="471"/>
      <c r="J94" s="35"/>
      <c r="K94" s="471"/>
    </row>
    <row r="95" spans="1:17">
      <c r="A95" s="32"/>
      <c r="B95" s="32"/>
      <c r="C95" s="472"/>
      <c r="D95" s="472"/>
      <c r="E95" s="472"/>
      <c r="F95" s="472"/>
      <c r="G95" s="472"/>
      <c r="H95" s="472"/>
      <c r="I95" s="472"/>
      <c r="J95" s="32"/>
      <c r="K95" s="472"/>
    </row>
    <row r="96" spans="1:17" ht="29.1" customHeight="1">
      <c r="A96" s="756" t="s">
        <v>412</v>
      </c>
      <c r="B96" s="756"/>
      <c r="C96" s="756"/>
      <c r="D96" s="756"/>
      <c r="E96" s="756"/>
      <c r="F96" s="756"/>
      <c r="G96" s="756"/>
      <c r="H96" s="756"/>
      <c r="I96" s="472"/>
      <c r="J96" s="30"/>
      <c r="K96" s="472"/>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79"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69" t="s">
        <v>532</v>
      </c>
      <c r="C5" s="769"/>
      <c r="D5" s="769"/>
      <c r="E5" s="769"/>
      <c r="F5" s="769"/>
      <c r="G5" s="769"/>
      <c r="H5" s="769"/>
      <c r="I5" s="769"/>
      <c r="J5" s="769"/>
    </row>
    <row r="6" spans="2:12" ht="16.5">
      <c r="B6" s="8"/>
      <c r="C6" s="8"/>
      <c r="D6" s="8"/>
      <c r="E6" s="8"/>
      <c r="F6" s="8"/>
      <c r="G6" s="8"/>
      <c r="H6" s="8"/>
      <c r="I6" s="8"/>
      <c r="J6" s="8"/>
    </row>
    <row r="7" spans="2:12" ht="15.75">
      <c r="B7" s="73" t="s">
        <v>28</v>
      </c>
      <c r="C7" s="74" t="s">
        <v>324</v>
      </c>
      <c r="D7" s="74" t="s">
        <v>2</v>
      </c>
      <c r="E7" s="74" t="s">
        <v>3</v>
      </c>
      <c r="F7" s="74" t="s">
        <v>4</v>
      </c>
      <c r="G7" s="74" t="s">
        <v>5</v>
      </c>
      <c r="H7" s="74" t="s">
        <v>6</v>
      </c>
      <c r="I7" s="74" t="s">
        <v>164</v>
      </c>
      <c r="J7" s="74" t="s">
        <v>163</v>
      </c>
      <c r="L7" s="314"/>
    </row>
    <row r="8" spans="2:12">
      <c r="B8" s="75"/>
      <c r="C8" s="75"/>
      <c r="D8" s="75"/>
      <c r="E8" s="75"/>
      <c r="F8" s="75"/>
      <c r="G8" s="75"/>
      <c r="H8" s="75"/>
      <c r="I8" s="75"/>
      <c r="J8" s="75"/>
    </row>
    <row r="9" spans="2:12">
      <c r="B9" s="75" t="s">
        <v>29</v>
      </c>
      <c r="C9" s="75"/>
      <c r="D9" s="76">
        <f>'6.Cons Profit &amp; Loss'!B56</f>
        <v>36.505001152479146</v>
      </c>
      <c r="E9" s="76">
        <f>'6.Cons Profit &amp; Loss'!C56</f>
        <v>47.079510168809136</v>
      </c>
      <c r="F9" s="76">
        <f>'6.Cons Profit &amp; Loss'!D56</f>
        <v>57.781271603789783</v>
      </c>
      <c r="G9" s="76">
        <f>'6.Cons Profit &amp; Loss'!E56</f>
        <v>69.888693572857747</v>
      </c>
      <c r="H9" s="76">
        <f>'6.Cons Profit &amp; Loss'!F56</f>
        <v>82.619685138320492</v>
      </c>
      <c r="I9" s="76">
        <f>'6.Cons Profit &amp; Loss'!G56</f>
        <v>94.711021632984711</v>
      </c>
      <c r="J9" s="76">
        <f>'6.Cons Profit &amp; Loss'!H56</f>
        <v>108.58879194211266</v>
      </c>
    </row>
    <row r="10" spans="2:12">
      <c r="B10" s="75"/>
      <c r="C10" s="75"/>
      <c r="D10" s="76"/>
      <c r="E10" s="76"/>
      <c r="F10" s="76"/>
      <c r="G10" s="76"/>
      <c r="H10" s="76"/>
      <c r="I10" s="76"/>
      <c r="J10" s="76"/>
    </row>
    <row r="11" spans="2:12">
      <c r="B11" s="77" t="s">
        <v>30</v>
      </c>
      <c r="C11" s="77"/>
      <c r="D11" s="76">
        <f>'6.Cons Profit &amp; Loss'!B46</f>
        <v>14.686757</v>
      </c>
      <c r="E11" s="76">
        <f>'6.Cons Profit &amp; Loss'!C46</f>
        <v>14.686757</v>
      </c>
      <c r="F11" s="76">
        <f>'6.Cons Profit &amp; Loss'!D46</f>
        <v>14.686757</v>
      </c>
      <c r="G11" s="76">
        <f>'6.Cons Profit &amp; Loss'!E46</f>
        <v>14.686757</v>
      </c>
      <c r="H11" s="76">
        <f>'6.Cons Profit &amp; Loss'!F46</f>
        <v>14.686757</v>
      </c>
      <c r="I11" s="76">
        <f>'6.Cons Profit &amp; Loss'!G46</f>
        <v>14.686757</v>
      </c>
      <c r="J11" s="76">
        <f>'6.Cons Profit &amp; Loss'!H46</f>
        <v>14.686757</v>
      </c>
    </row>
    <row r="12" spans="2:12">
      <c r="B12" s="75" t="s">
        <v>35</v>
      </c>
      <c r="C12" s="75"/>
      <c r="D12" s="76">
        <f>'6.Cons Profit &amp; Loss'!B47</f>
        <v>2.2815000000000003</v>
      </c>
      <c r="E12" s="76">
        <f>'6.Cons Profit &amp; Loss'!C47</f>
        <v>2.2815000000000003</v>
      </c>
      <c r="F12" s="76">
        <f>'6.Cons Profit &amp; Loss'!D47</f>
        <v>2.2815000000000003</v>
      </c>
      <c r="G12" s="76">
        <f>'6.Cons Profit &amp; Loss'!E47</f>
        <v>2.2815000000000003</v>
      </c>
      <c r="H12" s="76">
        <f>'6.Cons Profit &amp; Loss'!F47</f>
        <v>2.2815000000000003</v>
      </c>
      <c r="I12" s="76">
        <f>'6.Cons Profit &amp; Loss'!G47</f>
        <v>2.2815000000000003</v>
      </c>
      <c r="J12" s="76">
        <f>'6.Cons Profit &amp; Loss'!H47</f>
        <v>2.2815000000000003</v>
      </c>
    </row>
    <row r="13" spans="2:12">
      <c r="B13" s="75"/>
      <c r="C13" s="75"/>
      <c r="D13" s="75"/>
      <c r="E13" s="75"/>
      <c r="F13" s="75"/>
      <c r="G13" s="75"/>
      <c r="H13" s="75"/>
      <c r="I13" s="75"/>
      <c r="J13" s="75"/>
    </row>
    <row r="14" spans="2:12">
      <c r="B14" s="75" t="s">
        <v>31</v>
      </c>
      <c r="C14" s="75"/>
      <c r="D14" s="76">
        <f>SUM(D9:D12)</f>
        <v>53.473258152479147</v>
      </c>
      <c r="E14" s="76">
        <f t="shared" ref="E14:J14" si="0">SUM(E9:E12)</f>
        <v>64.047767168809131</v>
      </c>
      <c r="F14" s="76">
        <f t="shared" si="0"/>
        <v>74.74952860378977</v>
      </c>
      <c r="G14" s="76">
        <f t="shared" si="0"/>
        <v>86.856950572857741</v>
      </c>
      <c r="H14" s="76">
        <f t="shared" si="0"/>
        <v>99.587942138320486</v>
      </c>
      <c r="I14" s="76">
        <f t="shared" si="0"/>
        <v>111.6792786329847</v>
      </c>
      <c r="J14" s="76">
        <f t="shared" si="0"/>
        <v>125.55704894211266</v>
      </c>
    </row>
    <row r="15" spans="2:12">
      <c r="B15" s="75" t="s">
        <v>333</v>
      </c>
      <c r="C15" s="78">
        <f>-'1.Project Cost and MOF'!D12</f>
        <v>-340.24496733732883</v>
      </c>
      <c r="D15" s="76">
        <f>D14</f>
        <v>53.473258152479147</v>
      </c>
      <c r="E15" s="76">
        <f t="shared" ref="E15:J15" si="1">E14</f>
        <v>64.047767168809131</v>
      </c>
      <c r="F15" s="76">
        <f t="shared" si="1"/>
        <v>74.74952860378977</v>
      </c>
      <c r="G15" s="76">
        <f t="shared" si="1"/>
        <v>86.856950572857741</v>
      </c>
      <c r="H15" s="76">
        <f t="shared" si="1"/>
        <v>99.587942138320486</v>
      </c>
      <c r="I15" s="76">
        <f t="shared" si="1"/>
        <v>111.6792786329847</v>
      </c>
      <c r="J15" s="76">
        <f t="shared" si="1"/>
        <v>125.55704894211266</v>
      </c>
    </row>
    <row r="16" spans="2:12">
      <c r="B16" s="75" t="s">
        <v>272</v>
      </c>
      <c r="C16" s="631">
        <f>IRR(C15:J15)</f>
        <v>0.14872384142477535</v>
      </c>
      <c r="D16" s="76"/>
      <c r="E16" s="76"/>
      <c r="F16" s="76"/>
      <c r="G16" s="76"/>
      <c r="H16" s="76"/>
      <c r="I16" s="76"/>
      <c r="J16" s="76"/>
    </row>
    <row r="17" spans="2:19">
      <c r="B17" s="75"/>
      <c r="C17" s="75"/>
      <c r="D17" s="75"/>
      <c r="E17" s="75"/>
      <c r="F17" s="75"/>
      <c r="G17" s="75"/>
      <c r="H17" s="75"/>
      <c r="I17" s="75"/>
      <c r="J17" s="75"/>
    </row>
    <row r="18" spans="2:19" ht="16.5">
      <c r="B18" s="228" t="s">
        <v>395</v>
      </c>
      <c r="C18" s="228"/>
      <c r="D18" s="229">
        <f>1/(1+$C$16)</f>
        <v>0.87053124862428943</v>
      </c>
      <c r="E18" s="230">
        <f t="shared" ref="E18:J18" si="2">D18/(1+$C$16)</f>
        <v>0.75782465483136452</v>
      </c>
      <c r="F18" s="230">
        <f t="shared" si="2"/>
        <v>0.65971004300861891</v>
      </c>
      <c r="G18" s="230">
        <f t="shared" si="2"/>
        <v>0.57429820747027671</v>
      </c>
      <c r="H18" s="230">
        <f t="shared" si="2"/>
        <v>0.49994453563179125</v>
      </c>
      <c r="I18" s="230">
        <f t="shared" si="2"/>
        <v>0.43521734084643382</v>
      </c>
      <c r="J18" s="230">
        <f t="shared" si="2"/>
        <v>0.37887029514998904</v>
      </c>
      <c r="L18" s="17"/>
      <c r="M18" s="17"/>
      <c r="N18" s="17"/>
      <c r="O18" s="17"/>
      <c r="P18" s="17"/>
      <c r="Q18" s="17"/>
      <c r="R18" s="17"/>
      <c r="S18" s="17"/>
    </row>
    <row r="19" spans="2:19">
      <c r="B19" s="75" t="s">
        <v>32</v>
      </c>
      <c r="C19" s="75"/>
      <c r="D19" s="76">
        <f t="shared" ref="D19:J19" si="3">D14*D18</f>
        <v>46.550142187486635</v>
      </c>
      <c r="E19" s="76">
        <f t="shared" si="3"/>
        <v>48.536977047422383</v>
      </c>
      <c r="F19" s="76">
        <f t="shared" si="3"/>
        <v>49.313014730080141</v>
      </c>
      <c r="G19" s="76">
        <f t="shared" si="3"/>
        <v>49.881791020326624</v>
      </c>
      <c r="H19" s="76">
        <f t="shared" si="3"/>
        <v>49.788447486868328</v>
      </c>
      <c r="I19" s="76">
        <f t="shared" si="3"/>
        <v>48.60475867429556</v>
      </c>
      <c r="J19" s="76">
        <f t="shared" si="3"/>
        <v>47.569836190859846</v>
      </c>
      <c r="L19" s="6"/>
    </row>
    <row r="20" spans="2:19">
      <c r="B20" s="75" t="s">
        <v>33</v>
      </c>
      <c r="C20" s="75"/>
      <c r="D20" s="763">
        <f>SUM(D19:J19)</f>
        <v>340.24496733733952</v>
      </c>
      <c r="E20" s="763"/>
      <c r="F20" s="763"/>
      <c r="G20" s="763"/>
      <c r="H20" s="763"/>
      <c r="I20" s="763"/>
      <c r="J20" s="763"/>
      <c r="L20" s="6"/>
    </row>
    <row r="21" spans="2:19">
      <c r="B21" s="75"/>
      <c r="C21" s="75"/>
      <c r="D21" s="76"/>
      <c r="E21" s="76"/>
      <c r="F21" s="76"/>
      <c r="G21" s="76"/>
      <c r="H21" s="76"/>
      <c r="I21" s="76"/>
      <c r="J21" s="76"/>
    </row>
    <row r="22" spans="2:19">
      <c r="B22" s="9" t="s">
        <v>34</v>
      </c>
      <c r="C22" s="9"/>
      <c r="D22" s="764">
        <f>'1.Project Cost and MOF'!D12</f>
        <v>340.24496733732883</v>
      </c>
      <c r="E22" s="764"/>
      <c r="F22" s="764"/>
      <c r="G22" s="764"/>
      <c r="H22" s="764"/>
      <c r="I22" s="764"/>
      <c r="J22" s="764"/>
    </row>
    <row r="23" spans="2:19">
      <c r="F23" s="17">
        <f>D20-D22</f>
        <v>1.0686562745831907E-11</v>
      </c>
    </row>
    <row r="24" spans="2:19" ht="29.45" customHeight="1">
      <c r="B24" s="770" t="s">
        <v>413</v>
      </c>
      <c r="C24" s="770"/>
      <c r="D24" s="770"/>
      <c r="E24" s="770"/>
      <c r="F24" s="770"/>
      <c r="G24" s="770"/>
      <c r="H24" s="770"/>
      <c r="I24" s="770"/>
      <c r="J24" s="770"/>
    </row>
    <row r="25" spans="2:19">
      <c r="K25" s="17"/>
      <c r="L25" s="17"/>
      <c r="M25" s="17"/>
    </row>
    <row r="26" spans="2:19" ht="18.75">
      <c r="B26" s="703" t="s">
        <v>533</v>
      </c>
      <c r="C26" s="703"/>
      <c r="D26" s="703"/>
      <c r="E26" s="703"/>
      <c r="F26" s="703"/>
      <c r="G26" s="703"/>
      <c r="H26" s="703"/>
      <c r="I26" s="703"/>
    </row>
    <row r="27" spans="2:19">
      <c r="K27" s="17"/>
    </row>
    <row r="28" spans="2:19">
      <c r="B28" s="96" t="s">
        <v>0</v>
      </c>
      <c r="C28" s="89" t="s">
        <v>2</v>
      </c>
      <c r="D28" s="89" t="s">
        <v>3</v>
      </c>
      <c r="E28" s="89" t="s">
        <v>4</v>
      </c>
      <c r="F28" s="89" t="s">
        <v>5</v>
      </c>
      <c r="G28" s="89" t="s">
        <v>6</v>
      </c>
      <c r="H28" s="89" t="s">
        <v>164</v>
      </c>
      <c r="I28" s="89" t="s">
        <v>163</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Rice Mill</v>
      </c>
      <c r="C37" s="81">
        <f>+'6.Cons Profit &amp; Loss'!B56</f>
        <v>36.505001152479146</v>
      </c>
      <c r="D37" s="81">
        <f>+'6.Cons Profit &amp; Loss'!C56</f>
        <v>47.079510168809136</v>
      </c>
      <c r="E37" s="81">
        <f>+'6.Cons Profit &amp; Loss'!D56</f>
        <v>57.781271603789783</v>
      </c>
      <c r="F37" s="81">
        <f>+'6.Cons Profit &amp; Loss'!E56</f>
        <v>69.888693572857747</v>
      </c>
      <c r="G37" s="81">
        <f>+'6.Cons Profit &amp; Loss'!F56</f>
        <v>82.619685138320492</v>
      </c>
      <c r="H37" s="81">
        <f>+'6.Cons Profit &amp; Loss'!G56</f>
        <v>94.711021632984711</v>
      </c>
      <c r="I37" s="81">
        <f>+'6.Cons Profit &amp; Loss'!H56</f>
        <v>108.58879194211266</v>
      </c>
    </row>
    <row r="38" spans="2:10">
      <c r="B38" s="93"/>
      <c r="C38" s="93"/>
      <c r="D38" s="93"/>
      <c r="E38" s="93"/>
      <c r="F38" s="93"/>
      <c r="G38" s="93"/>
      <c r="H38" s="93"/>
      <c r="I38" s="93"/>
    </row>
    <row r="39" spans="2:10">
      <c r="B39" s="80" t="s">
        <v>26</v>
      </c>
      <c r="C39" s="81">
        <f>SUM(C32:C38)</f>
        <v>36.505001152479146</v>
      </c>
      <c r="D39" s="81">
        <f t="shared" ref="D39:I39" si="4">SUM(D32:D38)</f>
        <v>47.079510168809136</v>
      </c>
      <c r="E39" s="81">
        <f t="shared" si="4"/>
        <v>57.781271603789783</v>
      </c>
      <c r="F39" s="81">
        <f t="shared" si="4"/>
        <v>69.888693572857747</v>
      </c>
      <c r="G39" s="81">
        <f t="shared" si="4"/>
        <v>82.619685138320492</v>
      </c>
      <c r="H39" s="81">
        <f t="shared" si="4"/>
        <v>94.711021632984711</v>
      </c>
      <c r="I39" s="81">
        <f t="shared" si="4"/>
        <v>108.58879194211266</v>
      </c>
    </row>
    <row r="40" spans="2:10">
      <c r="B40" s="80"/>
      <c r="C40" s="81"/>
      <c r="D40" s="81"/>
      <c r="E40" s="81"/>
      <c r="F40" s="81"/>
      <c r="G40" s="81"/>
      <c r="H40" s="81"/>
      <c r="I40" s="81"/>
    </row>
    <row r="41" spans="2:10">
      <c r="B41" s="82" t="s">
        <v>38</v>
      </c>
      <c r="C41" s="98">
        <f>+'6.Cons Profit &amp; Loss'!B40+'6.Cons Profit &amp; Loss'!B46+'6.Cons Profit &amp; Loss'!B47+'6.Cons Profit &amp; Loss'!B52+'6.Cons Profit &amp; Loss'!B51</f>
        <v>46.87859733448763</v>
      </c>
      <c r="D41" s="98">
        <f>+'6.Cons Profit &amp; Loss'!C40+'6.Cons Profit &amp; Loss'!C46+'6.Cons Profit &amp; Loss'!C47+'6.Cons Profit &amp; Loss'!C52+'6.Cons Profit &amp; Loss'!C51</f>
        <v>48.789649339447074</v>
      </c>
      <c r="E41" s="98">
        <f>+'6.Cons Profit &amp; Loss'!D40+'6.Cons Profit &amp; Loss'!D46+'6.Cons Profit &amp; Loss'!D47+'6.Cons Profit &amp; Loss'!D52+'6.Cons Profit &amp; Loss'!D51</f>
        <v>50.774642974608511</v>
      </c>
      <c r="F41" s="98">
        <f>+'6.Cons Profit &amp; Loss'!E40+'6.Cons Profit &amp; Loss'!E46+'6.Cons Profit &amp; Loss'!E47+'6.Cons Profit &amp; Loss'!E52+'6.Cons Profit &amp; Loss'!E51</f>
        <v>53.146213180259871</v>
      </c>
      <c r="G41" s="98">
        <f>+'6.Cons Profit &amp; Loss'!F40+'6.Cons Profit &amp; Loss'!F46+'6.Cons Profit &amp; Loss'!F47+'6.Cons Profit &amp; Loss'!F52+'6.Cons Profit &amp; Loss'!F51</f>
        <v>56.904814684223687</v>
      </c>
      <c r="H41" s="98">
        <f>+'6.Cons Profit &amp; Loss'!G40+'6.Cons Profit &amp; Loss'!G46+'6.Cons Profit &amp; Loss'!G47+'6.Cons Profit &amp; Loss'!G52+'6.Cons Profit &amp; Loss'!G51</f>
        <v>62.40796342929854</v>
      </c>
      <c r="I41" s="98">
        <f>+'6.Cons Profit &amp; Loss'!H40+'6.Cons Profit &amp; Loss'!H46+'6.Cons Profit &amp; Loss'!H47+'6.Cons Profit &amp; Loss'!H52+'6.Cons Profit &amp; Loss'!H51</f>
        <v>68.722815586331535</v>
      </c>
    </row>
    <row r="42" spans="2:10">
      <c r="B42" s="82" t="s">
        <v>36</v>
      </c>
      <c r="C42" s="98">
        <f>+C39+C41</f>
        <v>83.383598486966775</v>
      </c>
      <c r="D42" s="98">
        <f t="shared" ref="D42:I42" si="5">+D39+D41</f>
        <v>95.869159508256217</v>
      </c>
      <c r="E42" s="98">
        <f t="shared" si="5"/>
        <v>108.5559145783983</v>
      </c>
      <c r="F42" s="98">
        <f t="shared" si="5"/>
        <v>123.03490675311761</v>
      </c>
      <c r="G42" s="98">
        <f t="shared" si="5"/>
        <v>139.52449982254419</v>
      </c>
      <c r="H42" s="98">
        <f t="shared" si="5"/>
        <v>157.11898506228326</v>
      </c>
      <c r="I42" s="98">
        <f t="shared" si="5"/>
        <v>177.3116075284442</v>
      </c>
    </row>
    <row r="43" spans="2:10">
      <c r="B43" s="80"/>
      <c r="C43" s="80"/>
      <c r="D43" s="80"/>
      <c r="E43" s="80"/>
      <c r="F43" s="80"/>
      <c r="G43" s="80"/>
      <c r="H43" s="80"/>
      <c r="I43" s="80"/>
    </row>
    <row r="44" spans="2:10">
      <c r="B44" s="80" t="s">
        <v>37</v>
      </c>
      <c r="C44" s="97">
        <f t="shared" ref="C44:I44" si="6">C41/C42</f>
        <v>0.5622040567344303</v>
      </c>
      <c r="D44" s="97">
        <f t="shared" si="6"/>
        <v>0.50891913092494911</v>
      </c>
      <c r="E44" s="97">
        <f t="shared" si="6"/>
        <v>0.46772801990387569</v>
      </c>
      <c r="F44" s="97">
        <f t="shared" si="6"/>
        <v>0.43196044588308014</v>
      </c>
      <c r="G44" s="97">
        <f t="shared" si="6"/>
        <v>0.40784818979174781</v>
      </c>
      <c r="H44" s="97">
        <f t="shared" si="6"/>
        <v>0.39720192569064466</v>
      </c>
      <c r="I44" s="97">
        <f t="shared" si="6"/>
        <v>0.38758215857530404</v>
      </c>
    </row>
    <row r="45" spans="2:10">
      <c r="B45" s="79"/>
      <c r="C45" s="79"/>
      <c r="D45" s="79"/>
      <c r="E45" s="79"/>
      <c r="F45" s="79"/>
      <c r="G45" s="79"/>
      <c r="H45" s="79"/>
      <c r="I45" s="79"/>
    </row>
    <row r="46" spans="2:10">
      <c r="B46" s="99" t="s">
        <v>129</v>
      </c>
      <c r="C46" s="629">
        <f>AVERAGE(C44:I44)</f>
        <v>0.45192056107200457</v>
      </c>
      <c r="D46" s="79"/>
      <c r="E46" s="79"/>
      <c r="F46" s="79"/>
      <c r="G46" s="79"/>
      <c r="H46" s="79"/>
      <c r="I46" s="79"/>
    </row>
    <row r="48" spans="2:10" ht="41.45" customHeight="1">
      <c r="B48" s="768" t="s">
        <v>414</v>
      </c>
      <c r="C48" s="768"/>
      <c r="D48" s="768"/>
      <c r="E48" s="768"/>
      <c r="F48" s="768"/>
      <c r="G48" s="768"/>
      <c r="H48" s="768"/>
      <c r="I48" s="768"/>
      <c r="J48" s="602"/>
    </row>
    <row r="51" spans="2:9" ht="18.75">
      <c r="B51" s="703" t="s">
        <v>534</v>
      </c>
      <c r="C51" s="703"/>
      <c r="D51" s="703"/>
      <c r="E51" s="703"/>
      <c r="F51" s="703"/>
      <c r="G51" s="703"/>
      <c r="H51" s="703"/>
      <c r="I51" s="703"/>
    </row>
    <row r="53" spans="2:9">
      <c r="B53" s="69" t="s">
        <v>28</v>
      </c>
      <c r="C53" s="70" t="s">
        <v>2</v>
      </c>
      <c r="D53" s="70" t="s">
        <v>3</v>
      </c>
      <c r="E53" s="70" t="s">
        <v>4</v>
      </c>
      <c r="F53" s="70" t="s">
        <v>5</v>
      </c>
      <c r="G53" s="70" t="s">
        <v>6</v>
      </c>
      <c r="H53" s="70" t="s">
        <v>164</v>
      </c>
      <c r="I53" s="70" t="s">
        <v>163</v>
      </c>
    </row>
    <row r="54" spans="2:9">
      <c r="B54" s="80"/>
      <c r="C54" s="80"/>
      <c r="D54" s="80"/>
      <c r="E54" s="80"/>
      <c r="F54" s="80"/>
      <c r="G54" s="80"/>
      <c r="H54" s="80"/>
      <c r="I54" s="80"/>
    </row>
    <row r="55" spans="2:9">
      <c r="B55" s="80" t="s">
        <v>364</v>
      </c>
      <c r="C55" s="514">
        <f>'6.Cons Profit &amp; Loss'!B56</f>
        <v>36.505001152479146</v>
      </c>
      <c r="D55" s="514">
        <f>'6.Cons Profit &amp; Loss'!C56</f>
        <v>47.079510168809136</v>
      </c>
      <c r="E55" s="514">
        <f>'6.Cons Profit &amp; Loss'!D56</f>
        <v>57.781271603789783</v>
      </c>
      <c r="F55" s="514">
        <f>'6.Cons Profit &amp; Loss'!E56</f>
        <v>69.888693572857747</v>
      </c>
      <c r="G55" s="514">
        <f>'6.Cons Profit &amp; Loss'!F56</f>
        <v>82.619685138320492</v>
      </c>
      <c r="H55" s="514">
        <f>'6.Cons Profit &amp; Loss'!G56</f>
        <v>94.711021632984711</v>
      </c>
      <c r="I55" s="514">
        <f>'6.Cons Profit &amp; Loss'!H56</f>
        <v>108.58879194211266</v>
      </c>
    </row>
    <row r="56" spans="2:9">
      <c r="B56" s="80"/>
      <c r="C56" s="514"/>
      <c r="D56" s="514"/>
      <c r="E56" s="514"/>
      <c r="F56" s="514"/>
      <c r="G56" s="514"/>
      <c r="H56" s="514"/>
      <c r="I56" s="514"/>
    </row>
    <row r="57" spans="2:9">
      <c r="B57" s="80" t="s">
        <v>39</v>
      </c>
      <c r="C57" s="514">
        <f>'6.Cons Profit &amp; Loss'!B46</f>
        <v>14.686757</v>
      </c>
      <c r="D57" s="514">
        <f>'6.Cons Profit &amp; Loss'!C46</f>
        <v>14.686757</v>
      </c>
      <c r="E57" s="514">
        <f>'6.Cons Profit &amp; Loss'!D46</f>
        <v>14.686757</v>
      </c>
      <c r="F57" s="514">
        <f>'6.Cons Profit &amp; Loss'!E46</f>
        <v>14.686757</v>
      </c>
      <c r="G57" s="514">
        <f>'6.Cons Profit &amp; Loss'!F46</f>
        <v>14.686757</v>
      </c>
      <c r="H57" s="514">
        <f>'6.Cons Profit &amp; Loss'!G46</f>
        <v>14.686757</v>
      </c>
      <c r="I57" s="514">
        <f>'6.Cons Profit &amp; Loss'!H46</f>
        <v>14.686757</v>
      </c>
    </row>
    <row r="58" spans="2:9">
      <c r="B58" s="92" t="s">
        <v>45</v>
      </c>
      <c r="C58" s="514">
        <f>'6.Cons Profit &amp; Loss'!B47</f>
        <v>2.2815000000000003</v>
      </c>
      <c r="D58" s="514">
        <f>'6.Cons Profit &amp; Loss'!C47</f>
        <v>2.2815000000000003</v>
      </c>
      <c r="E58" s="514">
        <f>'6.Cons Profit &amp; Loss'!D47</f>
        <v>2.2815000000000003</v>
      </c>
      <c r="F58" s="514">
        <f>'6.Cons Profit &amp; Loss'!E47</f>
        <v>2.2815000000000003</v>
      </c>
      <c r="G58" s="514">
        <f>'6.Cons Profit &amp; Loss'!F47</f>
        <v>2.2815000000000003</v>
      </c>
      <c r="H58" s="514">
        <f>'6.Cons Profit &amp; Loss'!G47</f>
        <v>2.2815000000000003</v>
      </c>
      <c r="I58" s="514">
        <f>'6.Cons Profit &amp; Loss'!H47</f>
        <v>2.2815000000000003</v>
      </c>
    </row>
    <row r="59" spans="2:9">
      <c r="B59" s="80"/>
      <c r="C59" s="514"/>
      <c r="D59" s="514"/>
      <c r="E59" s="514"/>
      <c r="F59" s="514"/>
      <c r="G59" s="514"/>
      <c r="H59" s="514"/>
      <c r="I59" s="514"/>
    </row>
    <row r="60" spans="2:9">
      <c r="B60" s="80" t="s">
        <v>31</v>
      </c>
      <c r="C60" s="514">
        <f>SUM(C55:C58)</f>
        <v>53.473258152479147</v>
      </c>
      <c r="D60" s="514">
        <f t="shared" ref="D60:I60" si="7">SUM(D55:D58)</f>
        <v>64.047767168809131</v>
      </c>
      <c r="E60" s="514">
        <f t="shared" si="7"/>
        <v>74.74952860378977</v>
      </c>
      <c r="F60" s="514">
        <f t="shared" si="7"/>
        <v>86.856950572857741</v>
      </c>
      <c r="G60" s="514">
        <f t="shared" si="7"/>
        <v>99.587942138320486</v>
      </c>
      <c r="H60" s="514">
        <f t="shared" si="7"/>
        <v>111.6792786329847</v>
      </c>
      <c r="I60" s="514">
        <f t="shared" si="7"/>
        <v>125.55704894211266</v>
      </c>
    </row>
    <row r="61" spans="2:9">
      <c r="B61" s="80"/>
      <c r="C61" s="514"/>
      <c r="D61" s="514"/>
      <c r="E61" s="514"/>
      <c r="F61" s="514"/>
      <c r="G61" s="514"/>
      <c r="H61" s="514"/>
      <c r="I61" s="514"/>
    </row>
    <row r="62" spans="2:9" ht="16.5">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c r="B63" s="80"/>
      <c r="C63" s="514"/>
      <c r="D63" s="514"/>
      <c r="E63" s="514"/>
      <c r="F63" s="514"/>
      <c r="G63" s="514"/>
      <c r="H63" s="514"/>
      <c r="I63" s="514"/>
    </row>
    <row r="64" spans="2:9" ht="16.5">
      <c r="B64" s="11" t="s">
        <v>41</v>
      </c>
      <c r="C64" s="515">
        <f>C60*C62</f>
        <v>48.612052865890135</v>
      </c>
      <c r="D64" s="515">
        <f t="shared" ref="D64:I64" si="9">D60*D62</f>
        <v>52.93203898248688</v>
      </c>
      <c r="E64" s="515">
        <f t="shared" si="9"/>
        <v>56.160427200443095</v>
      </c>
      <c r="F64" s="515">
        <f t="shared" si="9"/>
        <v>59.32446593324071</v>
      </c>
      <c r="G64" s="515">
        <f t="shared" si="9"/>
        <v>61.836276793264524</v>
      </c>
      <c r="H64" s="515">
        <f t="shared" si="9"/>
        <v>63.040041315531695</v>
      </c>
      <c r="I64" s="515">
        <f t="shared" si="9"/>
        <v>64.430618965735249</v>
      </c>
    </row>
    <row r="65" spans="2:10">
      <c r="B65" s="79"/>
      <c r="C65" s="95"/>
      <c r="D65" s="95"/>
      <c r="E65" s="95"/>
      <c r="F65" s="95"/>
      <c r="G65" s="95"/>
      <c r="H65" s="95"/>
      <c r="I65" s="95"/>
    </row>
    <row r="66" spans="2:10" ht="16.5">
      <c r="B66" s="12" t="s">
        <v>42</v>
      </c>
      <c r="C66" s="95">
        <f>SUM(C64:I64)</f>
        <v>406.33592205659227</v>
      </c>
      <c r="D66" s="95"/>
      <c r="E66" s="95"/>
      <c r="F66" s="95"/>
      <c r="G66" s="95"/>
      <c r="H66" s="95"/>
      <c r="I66" s="95"/>
    </row>
    <row r="67" spans="2:10">
      <c r="B67" s="79"/>
      <c r="C67" s="95"/>
      <c r="D67" s="95"/>
      <c r="E67" s="95"/>
      <c r="F67" s="95"/>
      <c r="G67" s="95"/>
      <c r="H67" s="95"/>
      <c r="I67" s="95"/>
    </row>
    <row r="68" spans="2:10" ht="16.5">
      <c r="B68" s="12" t="s">
        <v>43</v>
      </c>
      <c r="C68" s="95">
        <f>'1.Project Cost and MOF'!D12</f>
        <v>340.24496733732883</v>
      </c>
      <c r="D68" s="95"/>
      <c r="E68" s="95"/>
      <c r="F68" s="95"/>
      <c r="G68" s="95"/>
      <c r="H68" s="95"/>
      <c r="I68" s="95"/>
    </row>
    <row r="69" spans="2:10">
      <c r="B69" s="79"/>
      <c r="C69" s="94"/>
      <c r="D69" s="79"/>
      <c r="E69" s="79"/>
      <c r="F69" s="79"/>
      <c r="G69" s="79"/>
      <c r="H69" s="79"/>
      <c r="I69" s="79"/>
    </row>
    <row r="70" spans="2:10" ht="16.5">
      <c r="B70" s="12" t="s">
        <v>44</v>
      </c>
      <c r="C70" s="94">
        <f>C66-C68</f>
        <v>66.090954719263436</v>
      </c>
      <c r="D70" s="79"/>
      <c r="E70" s="79"/>
      <c r="F70" s="79"/>
      <c r="G70" s="79"/>
      <c r="H70" s="79"/>
      <c r="I70" s="79"/>
    </row>
    <row r="72" spans="2:10" ht="35.1" customHeight="1">
      <c r="B72" s="708" t="s">
        <v>415</v>
      </c>
      <c r="C72" s="708"/>
      <c r="D72" s="708"/>
      <c r="E72" s="708"/>
      <c r="F72" s="708"/>
      <c r="G72" s="708"/>
      <c r="H72" s="708"/>
      <c r="I72" s="708"/>
      <c r="J72" s="597"/>
    </row>
    <row r="73" spans="2:10" ht="18.75">
      <c r="B73" s="703" t="s">
        <v>535</v>
      </c>
      <c r="C73" s="703"/>
      <c r="D73" s="703"/>
      <c r="E73" s="703"/>
      <c r="F73" s="703"/>
      <c r="G73" s="703"/>
      <c r="H73" s="703"/>
      <c r="I73" s="703"/>
    </row>
    <row r="74" spans="2:10">
      <c r="B74" s="79"/>
      <c r="C74" s="79"/>
      <c r="D74" s="79"/>
      <c r="E74" s="79"/>
      <c r="F74" s="79"/>
      <c r="G74" s="79"/>
      <c r="H74" s="79"/>
      <c r="I74" s="79"/>
    </row>
    <row r="75" spans="2:10" ht="15.75">
      <c r="B75" s="60" t="s">
        <v>0</v>
      </c>
      <c r="C75" s="60" t="s">
        <v>2</v>
      </c>
      <c r="D75" s="60" t="s">
        <v>3</v>
      </c>
      <c r="E75" s="60" t="s">
        <v>4</v>
      </c>
      <c r="F75" s="60" t="s">
        <v>5</v>
      </c>
      <c r="G75" s="60" t="s">
        <v>6</v>
      </c>
      <c r="H75" s="60" t="s">
        <v>164</v>
      </c>
      <c r="I75" s="60" t="s">
        <v>163</v>
      </c>
    </row>
    <row r="76" spans="2:10" ht="15.75">
      <c r="B76" s="58"/>
      <c r="C76" s="59"/>
      <c r="D76" s="59"/>
      <c r="E76" s="59"/>
      <c r="F76" s="59"/>
      <c r="G76" s="59"/>
      <c r="H76" s="59"/>
      <c r="I76" s="59"/>
    </row>
    <row r="77" spans="2:10">
      <c r="B77" s="82" t="s">
        <v>26</v>
      </c>
      <c r="C77" s="81">
        <f>'6.Cons Profit &amp; Loss'!B56</f>
        <v>36.505001152479146</v>
      </c>
      <c r="D77" s="81">
        <f>'6.Cons Profit &amp; Loss'!C56</f>
        <v>47.079510168809136</v>
      </c>
      <c r="E77" s="81">
        <f>'6.Cons Profit &amp; Loss'!D56</f>
        <v>57.781271603789783</v>
      </c>
      <c r="F77" s="81">
        <f>'6.Cons Profit &amp; Loss'!E56</f>
        <v>69.888693572857747</v>
      </c>
      <c r="G77" s="81">
        <f>'6.Cons Profit &amp; Loss'!F56</f>
        <v>82.619685138320492</v>
      </c>
      <c r="H77" s="81">
        <f>'6.Cons Profit &amp; Loss'!G56</f>
        <v>94.711021632984711</v>
      </c>
      <c r="I77" s="81">
        <f>'6.Cons Profit &amp; Loss'!H56</f>
        <v>108.58879194211266</v>
      </c>
    </row>
    <row r="78" spans="2:10">
      <c r="B78" s="80"/>
      <c r="C78" s="80"/>
      <c r="D78" s="80"/>
      <c r="E78" s="80"/>
      <c r="F78" s="80"/>
      <c r="G78" s="80"/>
      <c r="H78" s="80"/>
      <c r="I78" s="80"/>
    </row>
    <row r="79" spans="2:10">
      <c r="B79" s="82" t="s">
        <v>121</v>
      </c>
      <c r="C79" s="766">
        <f>AVERAGE(C77:I77)</f>
        <v>71.024853601621956</v>
      </c>
      <c r="D79" s="766"/>
      <c r="E79" s="766"/>
      <c r="F79" s="766"/>
      <c r="G79" s="766"/>
      <c r="H79" s="766"/>
      <c r="I79" s="766"/>
    </row>
    <row r="80" spans="2:10">
      <c r="B80" s="82" t="s">
        <v>122</v>
      </c>
      <c r="C80" s="766">
        <f>'1.Project Cost and MOF'!D12</f>
        <v>340.24496733732883</v>
      </c>
      <c r="D80" s="766"/>
      <c r="E80" s="766"/>
      <c r="F80" s="766"/>
      <c r="G80" s="766"/>
      <c r="H80" s="766"/>
      <c r="I80" s="766"/>
    </row>
    <row r="81" spans="2:10">
      <c r="B81" s="80"/>
      <c r="C81" s="80"/>
      <c r="D81" s="80"/>
      <c r="E81" s="80"/>
      <c r="F81" s="80"/>
      <c r="G81" s="80"/>
      <c r="H81" s="80"/>
      <c r="I81" s="80"/>
    </row>
    <row r="82" spans="2:10">
      <c r="B82" s="227" t="s">
        <v>123</v>
      </c>
      <c r="C82" s="767">
        <f>C79/C80</f>
        <v>0.20874622821740618</v>
      </c>
      <c r="D82" s="767"/>
      <c r="E82" s="767"/>
      <c r="F82" s="767"/>
      <c r="G82" s="767"/>
      <c r="H82" s="767"/>
      <c r="I82" s="767"/>
    </row>
    <row r="85" spans="2:10">
      <c r="B85" s="765" t="s">
        <v>416</v>
      </c>
      <c r="C85" s="765"/>
      <c r="D85" s="765"/>
      <c r="E85" s="765"/>
      <c r="F85" s="765"/>
      <c r="G85" s="765"/>
      <c r="H85" s="765"/>
      <c r="I85" s="765"/>
    </row>
    <row r="87" spans="2:10" ht="18.75">
      <c r="B87" s="703" t="s">
        <v>536</v>
      </c>
      <c r="C87" s="703"/>
      <c r="D87" s="703"/>
      <c r="E87" s="703"/>
      <c r="F87" s="703"/>
      <c r="G87" s="703"/>
      <c r="H87" s="703"/>
      <c r="I87" s="703"/>
      <c r="J87" s="703"/>
    </row>
    <row r="89" spans="2:10">
      <c r="B89" s="89" t="s">
        <v>0</v>
      </c>
      <c r="C89" s="89" t="s">
        <v>324</v>
      </c>
      <c r="D89" s="89" t="s">
        <v>2</v>
      </c>
      <c r="E89" s="89" t="s">
        <v>3</v>
      </c>
      <c r="F89" s="89" t="s">
        <v>4</v>
      </c>
      <c r="G89" s="89" t="s">
        <v>5</v>
      </c>
      <c r="H89" s="89" t="s">
        <v>6</v>
      </c>
      <c r="I89" s="89" t="s">
        <v>164</v>
      </c>
      <c r="J89" s="89" t="s">
        <v>163</v>
      </c>
    </row>
    <row r="90" spans="2:10">
      <c r="B90" s="90"/>
      <c r="C90" s="90"/>
      <c r="D90" s="91"/>
      <c r="E90" s="91"/>
      <c r="F90" s="91"/>
      <c r="G90" s="91"/>
      <c r="H90" s="91"/>
      <c r="I90" s="91"/>
      <c r="J90" s="91"/>
    </row>
    <row r="91" spans="2:10">
      <c r="B91" s="23" t="s">
        <v>273</v>
      </c>
      <c r="C91" s="516">
        <f>'1.Project Cost and MOF'!D12</f>
        <v>340.24496733732883</v>
      </c>
      <c r="D91" s="517"/>
      <c r="E91" s="517"/>
      <c r="F91" s="517"/>
      <c r="G91" s="517"/>
      <c r="H91" s="517"/>
      <c r="I91" s="517"/>
      <c r="J91" s="517"/>
    </row>
    <row r="92" spans="2:10">
      <c r="B92" s="24" t="str">
        <f>B55</f>
        <v>Profit after Tax &amp; Dividend</v>
      </c>
      <c r="C92" s="518"/>
      <c r="D92" s="519">
        <f>'6.Cons Profit &amp; Loss'!B56</f>
        <v>36.505001152479146</v>
      </c>
      <c r="E92" s="519">
        <f>'6.Cons Profit &amp; Loss'!C56</f>
        <v>47.079510168809136</v>
      </c>
      <c r="F92" s="519">
        <f>'6.Cons Profit &amp; Loss'!D56</f>
        <v>57.781271603789783</v>
      </c>
      <c r="G92" s="519">
        <f>'6.Cons Profit &amp; Loss'!E56</f>
        <v>69.888693572857747</v>
      </c>
      <c r="H92" s="519">
        <f>'6.Cons Profit &amp; Loss'!F56</f>
        <v>82.619685138320492</v>
      </c>
      <c r="I92" s="519">
        <f>'6.Cons Profit &amp; Loss'!G56</f>
        <v>94.711021632984711</v>
      </c>
      <c r="J92" s="519">
        <f>'6.Cons Profit &amp; Loss'!H56</f>
        <v>108.58879194211266</v>
      </c>
    </row>
    <row r="93" spans="2:10">
      <c r="B93" s="24" t="str">
        <f>B57</f>
        <v>Add: Deprication</v>
      </c>
      <c r="C93" s="518"/>
      <c r="D93" s="520">
        <f>'6.Cons Profit &amp; Loss'!B46</f>
        <v>14.686757</v>
      </c>
      <c r="E93" s="520">
        <f>'6.Cons Profit &amp; Loss'!C46</f>
        <v>14.686757</v>
      </c>
      <c r="F93" s="520">
        <f>'6.Cons Profit &amp; Loss'!D46</f>
        <v>14.686757</v>
      </c>
      <c r="G93" s="520">
        <f>'6.Cons Profit &amp; Loss'!E46</f>
        <v>14.686757</v>
      </c>
      <c r="H93" s="520">
        <f>'6.Cons Profit &amp; Loss'!F46</f>
        <v>14.686757</v>
      </c>
      <c r="I93" s="520">
        <f>'6.Cons Profit &amp; Loss'!G46</f>
        <v>14.686757</v>
      </c>
      <c r="J93" s="520">
        <f>'6.Cons Profit &amp; Loss'!H46</f>
        <v>14.686757</v>
      </c>
    </row>
    <row r="94" spans="2:10">
      <c r="B94" s="24" t="str">
        <f>B58</f>
        <v>Add. Preliminary exp Written off</v>
      </c>
      <c r="C94" s="518"/>
      <c r="D94" s="520">
        <f>'6.Cons Profit &amp; Loss'!B47</f>
        <v>2.2815000000000003</v>
      </c>
      <c r="E94" s="520">
        <f>'6.Cons Profit &amp; Loss'!C47</f>
        <v>2.2815000000000003</v>
      </c>
      <c r="F94" s="520">
        <f>'6.Cons Profit &amp; Loss'!D47</f>
        <v>2.2815000000000003</v>
      </c>
      <c r="G94" s="520">
        <f>'6.Cons Profit &amp; Loss'!E47</f>
        <v>2.2815000000000003</v>
      </c>
      <c r="H94" s="520">
        <f>'6.Cons Profit &amp; Loss'!F47</f>
        <v>2.2815000000000003</v>
      </c>
      <c r="I94" s="520">
        <f>'6.Cons Profit &amp; Loss'!G47</f>
        <v>2.2815000000000003</v>
      </c>
      <c r="J94" s="520">
        <f>'6.Cons Profit &amp; Loss'!H47</f>
        <v>2.2815000000000003</v>
      </c>
    </row>
    <row r="95" spans="2:10">
      <c r="B95" s="24" t="str">
        <f>B60</f>
        <v xml:space="preserve">Net Cash Accrual (A)      </v>
      </c>
      <c r="C95" s="518"/>
      <c r="D95" s="518">
        <f>SUM(D92:D94)</f>
        <v>53.473258152479147</v>
      </c>
      <c r="E95" s="518">
        <f t="shared" ref="E95:J95" si="10">SUM(E92:E94)</f>
        <v>64.047767168809131</v>
      </c>
      <c r="F95" s="518">
        <f t="shared" si="10"/>
        <v>74.74952860378977</v>
      </c>
      <c r="G95" s="518">
        <f t="shared" si="10"/>
        <v>86.856950572857741</v>
      </c>
      <c r="H95" s="518">
        <f t="shared" si="10"/>
        <v>99.587942138320486</v>
      </c>
      <c r="I95" s="518">
        <f t="shared" si="10"/>
        <v>111.6792786329847</v>
      </c>
      <c r="J95" s="518">
        <f t="shared" si="10"/>
        <v>125.55704894211266</v>
      </c>
    </row>
    <row r="96" spans="2:10">
      <c r="B96" s="23" t="s">
        <v>274</v>
      </c>
      <c r="C96" s="521"/>
      <c r="D96" s="522">
        <f>D95-C91</f>
        <v>-286.77170918484967</v>
      </c>
      <c r="E96" s="522">
        <f>D96+E95</f>
        <v>-222.72394201604055</v>
      </c>
      <c r="F96" s="522">
        <f>E96+F95</f>
        <v>-147.97441341225078</v>
      </c>
      <c r="G96" s="522">
        <f>F96+G95</f>
        <v>-61.117462839393042</v>
      </c>
      <c r="H96" s="522">
        <f>G96+H95</f>
        <v>38.470479298927444</v>
      </c>
      <c r="I96" s="523"/>
      <c r="J96" s="523"/>
    </row>
    <row r="97" spans="2:10">
      <c r="B97" s="7"/>
      <c r="C97" s="7"/>
      <c r="D97" s="7"/>
      <c r="E97" s="7"/>
      <c r="F97" s="7"/>
      <c r="G97" s="7"/>
      <c r="H97" s="7"/>
      <c r="I97" s="7"/>
      <c r="J97" s="7"/>
    </row>
    <row r="98" spans="2:10">
      <c r="B98" s="25" t="s">
        <v>275</v>
      </c>
      <c r="C98" s="7"/>
      <c r="D98" s="53">
        <f>4+(-G96/H95)</f>
        <v>4.6137034416727403</v>
      </c>
      <c r="E98" s="7"/>
      <c r="F98" s="7"/>
      <c r="G98" s="7"/>
      <c r="H98" s="7"/>
      <c r="I98" s="7"/>
      <c r="J98" s="7"/>
    </row>
    <row r="99" spans="2:10">
      <c r="B99" s="7"/>
      <c r="C99" s="7"/>
      <c r="D99" s="7"/>
      <c r="E99" s="7"/>
      <c r="F99" s="7"/>
      <c r="G99" s="7"/>
      <c r="H99" s="7"/>
      <c r="I99" s="7"/>
      <c r="J99" s="7"/>
    </row>
    <row r="100" spans="2:10">
      <c r="B100" s="765" t="s">
        <v>417</v>
      </c>
      <c r="C100" s="765"/>
      <c r="D100" s="765"/>
      <c r="E100" s="765"/>
      <c r="F100" s="765"/>
      <c r="G100" s="765"/>
      <c r="H100" s="765"/>
      <c r="I100" s="765"/>
      <c r="J100" s="765"/>
    </row>
    <row r="102" spans="2:10" ht="18.75">
      <c r="B102" s="703" t="s">
        <v>537</v>
      </c>
      <c r="C102" s="703"/>
      <c r="D102" s="703"/>
      <c r="E102" s="703"/>
      <c r="F102" s="703"/>
      <c r="G102" s="703"/>
      <c r="H102" s="703"/>
      <c r="I102" s="703"/>
    </row>
    <row r="104" spans="2:10" ht="15.75">
      <c r="B104" s="60" t="s">
        <v>0</v>
      </c>
      <c r="C104" s="60" t="s">
        <v>2</v>
      </c>
      <c r="D104" s="60" t="s">
        <v>3</v>
      </c>
      <c r="E104" s="60" t="s">
        <v>4</v>
      </c>
      <c r="F104" s="60" t="s">
        <v>5</v>
      </c>
      <c r="G104" s="60" t="s">
        <v>6</v>
      </c>
      <c r="H104" s="60" t="s">
        <v>164</v>
      </c>
      <c r="I104" s="60" t="s">
        <v>163</v>
      </c>
    </row>
    <row r="105" spans="2:10" ht="15.75">
      <c r="B105" s="58"/>
      <c r="C105" s="59"/>
      <c r="D105" s="59"/>
      <c r="E105" s="59"/>
      <c r="F105" s="59"/>
      <c r="G105" s="59"/>
      <c r="H105" s="59"/>
      <c r="I105" s="59"/>
    </row>
    <row r="106" spans="2:10">
      <c r="B106" s="80" t="s">
        <v>327</v>
      </c>
      <c r="C106" s="81">
        <f>+'6.Cons Profit &amp; Loss'!B58</f>
        <v>20.077750633863531</v>
      </c>
      <c r="D106" s="81">
        <f>+'6.Cons Profit &amp; Loss'!C58</f>
        <v>25.893730592845024</v>
      </c>
      <c r="E106" s="81">
        <f>+'6.Cons Profit &amp; Loss'!D58</f>
        <v>31.779699382084381</v>
      </c>
      <c r="F106" s="81">
        <f>+'6.Cons Profit &amp; Loss'!E58</f>
        <v>38.438781465071756</v>
      </c>
      <c r="G106" s="81">
        <f>+'6.Cons Profit &amp; Loss'!F58</f>
        <v>45.440826826076268</v>
      </c>
      <c r="H106" s="81">
        <f>+'6.Cons Profit &amp; Loss'!G58</f>
        <v>52.091061898141589</v>
      </c>
      <c r="I106" s="81">
        <f>+'6.Cons Profit &amp; Loss'!H58</f>
        <v>59.723835568161967</v>
      </c>
    </row>
    <row r="107" spans="2:10">
      <c r="B107" s="80" t="s">
        <v>337</v>
      </c>
      <c r="C107" s="81">
        <f>'6.Cons Profit &amp; Loss'!B46</f>
        <v>14.686757</v>
      </c>
      <c r="D107" s="81">
        <f>'6.Cons Profit &amp; Loss'!C46</f>
        <v>14.686757</v>
      </c>
      <c r="E107" s="81">
        <f>'6.Cons Profit &amp; Loss'!D46</f>
        <v>14.686757</v>
      </c>
      <c r="F107" s="81">
        <f>'6.Cons Profit &amp; Loss'!E46</f>
        <v>14.686757</v>
      </c>
      <c r="G107" s="81">
        <f>'6.Cons Profit &amp; Loss'!F46</f>
        <v>14.686757</v>
      </c>
      <c r="H107" s="81">
        <f>'6.Cons Profit &amp; Loss'!G46</f>
        <v>14.686757</v>
      </c>
      <c r="I107" s="81">
        <f>'6.Cons Profit &amp; Loss'!H46</f>
        <v>14.686757</v>
      </c>
    </row>
    <row r="108" spans="2:10">
      <c r="B108" s="80" t="s">
        <v>338</v>
      </c>
      <c r="C108" s="81">
        <f>'6.Cons Profit &amp; Loss'!B47</f>
        <v>2.2815000000000003</v>
      </c>
      <c r="D108" s="81">
        <f>'6.Cons Profit &amp; Loss'!C47</f>
        <v>2.2815000000000003</v>
      </c>
      <c r="E108" s="81">
        <f>'6.Cons Profit &amp; Loss'!D47</f>
        <v>2.2815000000000003</v>
      </c>
      <c r="F108" s="81">
        <f>'6.Cons Profit &amp; Loss'!E47</f>
        <v>2.2815000000000003</v>
      </c>
      <c r="G108" s="81">
        <f>'6.Cons Profit &amp; Loss'!F47</f>
        <v>2.2815000000000003</v>
      </c>
      <c r="H108" s="81">
        <f>'6.Cons Profit &amp; Loss'!G47</f>
        <v>2.2815000000000003</v>
      </c>
      <c r="I108" s="81">
        <f>'6.Cons Profit &amp; Loss'!H47</f>
        <v>2.2815000000000003</v>
      </c>
    </row>
    <row r="109" spans="2:10">
      <c r="B109" s="80" t="s">
        <v>339</v>
      </c>
      <c r="C109" s="81">
        <f>'8.Cash Flow '!C28</f>
        <v>5.8817841534088577</v>
      </c>
      <c r="D109" s="81">
        <f>'8.Cash Flow '!D28</f>
        <v>4.5615640832612856</v>
      </c>
      <c r="E109" s="81">
        <f>'8.Cash Flow '!E28</f>
        <v>2.8870306967692487</v>
      </c>
      <c r="F109" s="81">
        <f>'8.Cash Flow '!F28</f>
        <v>1.0554145282439082</v>
      </c>
      <c r="G109" s="81">
        <f>'8.Cash Flow '!G28</f>
        <v>2.3980817331903381E-14</v>
      </c>
      <c r="H109" s="81">
        <f>'8.Cash Flow '!H28</f>
        <v>2.3980817331903381E-14</v>
      </c>
      <c r="I109" s="81">
        <f>'8.Cash Flow '!I28</f>
        <v>2.3980817331903381E-14</v>
      </c>
    </row>
    <row r="110" spans="2:10">
      <c r="B110" s="82" t="s">
        <v>1</v>
      </c>
      <c r="C110" s="83">
        <f>SUM(C106:C109)</f>
        <v>42.92779178727239</v>
      </c>
      <c r="D110" s="83">
        <f t="shared" ref="D110:I110" si="11">SUM(D106:D109)</f>
        <v>47.423551676106314</v>
      </c>
      <c r="E110" s="83">
        <f t="shared" si="11"/>
        <v>51.634987078853634</v>
      </c>
      <c r="F110" s="83">
        <f t="shared" si="11"/>
        <v>56.462452993315665</v>
      </c>
      <c r="G110" s="83">
        <f t="shared" si="11"/>
        <v>62.409083826076291</v>
      </c>
      <c r="H110" s="83">
        <f t="shared" si="11"/>
        <v>69.059318898141612</v>
      </c>
      <c r="I110" s="83">
        <f t="shared" si="11"/>
        <v>76.692092568161996</v>
      </c>
    </row>
    <row r="111" spans="2:10">
      <c r="B111" s="80"/>
      <c r="C111" s="80"/>
      <c r="D111" s="80"/>
      <c r="E111" s="80"/>
      <c r="F111" s="80"/>
      <c r="G111" s="80"/>
      <c r="H111" s="80"/>
      <c r="I111" s="80"/>
    </row>
    <row r="112" spans="2:10">
      <c r="B112" s="84" t="s">
        <v>276</v>
      </c>
      <c r="C112" s="85">
        <f>'8.Cash Flow '!C27+'8.Cash Flow '!C28</f>
        <v>14.224634351669046</v>
      </c>
      <c r="D112" s="85">
        <f>'8.Cash Flow '!D27+'8.Cash Flow '!D28</f>
        <v>22.412419703338085</v>
      </c>
      <c r="E112" s="85">
        <f>'8.Cash Flow '!E27+'8.Cash Flow '!E28</f>
        <v>22.412419703338088</v>
      </c>
      <c r="F112" s="85">
        <f>'8.Cash Flow '!F27+'8.Cash Flow '!F28</f>
        <v>22.412419703338088</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325</v>
      </c>
      <c r="C114" s="87">
        <f>C110/C112</f>
        <v>3.0178485243267756</v>
      </c>
      <c r="D114" s="87">
        <f t="shared" ref="D114:F114" si="12">D110/D112</f>
        <v>2.1159496521940957</v>
      </c>
      <c r="E114" s="87">
        <f t="shared" si="12"/>
        <v>2.3038559763880899</v>
      </c>
      <c r="F114" s="87">
        <f t="shared" si="12"/>
        <v>2.5192484230029919</v>
      </c>
      <c r="G114" s="87">
        <v>0</v>
      </c>
      <c r="H114" s="87">
        <v>0</v>
      </c>
      <c r="I114" s="87">
        <v>0</v>
      </c>
    </row>
    <row r="115" spans="2:18">
      <c r="B115" s="79"/>
      <c r="C115" s="79"/>
      <c r="D115" s="79"/>
      <c r="E115" s="79"/>
      <c r="F115" s="79"/>
      <c r="G115" s="79"/>
      <c r="H115" s="79"/>
      <c r="I115" s="79"/>
    </row>
    <row r="116" spans="2:18">
      <c r="B116" s="79" t="s">
        <v>326</v>
      </c>
      <c r="C116" s="618">
        <f>AVERAGE(C114:F114)</f>
        <v>2.4892256439779885</v>
      </c>
      <c r="D116" s="79"/>
      <c r="E116" s="79"/>
      <c r="F116" s="79"/>
      <c r="G116" s="79"/>
      <c r="H116" s="79"/>
      <c r="I116" s="79"/>
    </row>
    <row r="118" spans="2:18" ht="29.45" customHeight="1">
      <c r="B118" s="708" t="s">
        <v>418</v>
      </c>
      <c r="C118" s="708"/>
      <c r="D118" s="708"/>
      <c r="E118" s="708"/>
      <c r="F118" s="708"/>
      <c r="G118" s="708"/>
      <c r="H118" s="708"/>
      <c r="I118" s="708"/>
      <c r="J118" s="708"/>
    </row>
    <row r="120" spans="2:18" ht="21">
      <c r="B120" s="760" t="s">
        <v>538</v>
      </c>
      <c r="C120" s="761"/>
      <c r="D120" s="761"/>
      <c r="E120" s="761"/>
      <c r="F120" s="761"/>
      <c r="G120" s="761"/>
      <c r="H120" s="761"/>
      <c r="I120" s="761"/>
      <c r="K120" s="762"/>
      <c r="L120" s="762"/>
      <c r="M120" s="762"/>
      <c r="N120" s="762"/>
      <c r="O120" s="762"/>
      <c r="P120" s="762"/>
      <c r="Q120" s="762"/>
      <c r="R120" s="762"/>
    </row>
    <row r="121" spans="2:18">
      <c r="B121" s="69" t="s">
        <v>340</v>
      </c>
      <c r="C121" s="70" t="s">
        <v>2</v>
      </c>
      <c r="D121" s="70" t="s">
        <v>3</v>
      </c>
      <c r="E121" s="70" t="s">
        <v>4</v>
      </c>
      <c r="F121" s="70" t="s">
        <v>5</v>
      </c>
      <c r="G121" s="70" t="s">
        <v>6</v>
      </c>
      <c r="H121" s="70" t="s">
        <v>164</v>
      </c>
      <c r="I121" s="70" t="s">
        <v>163</v>
      </c>
    </row>
    <row r="122" spans="2:18">
      <c r="B122" s="61" t="str">
        <f>'6.Cons Profit &amp; Loss'!A8</f>
        <v>Faclitiy 1 - Cleaning &amp; Grading</v>
      </c>
      <c r="C122" s="290">
        <f>'6.Cons Profit &amp; Loss'!B8*(1+$M$123)</f>
        <v>0</v>
      </c>
      <c r="D122" s="290">
        <f>'6.Cons Profit &amp; Loss'!C8*(1+$M$123)</f>
        <v>0</v>
      </c>
      <c r="E122" s="290">
        <f>'6.Cons Profit &amp; Loss'!D8*(1+$M$123)</f>
        <v>0</v>
      </c>
      <c r="F122" s="290">
        <f>'6.Cons Profit &amp; Loss'!E8*(1+$M$123)</f>
        <v>0</v>
      </c>
      <c r="G122" s="290">
        <f>'6.Cons Profit &amp; Loss'!F8*(1+$M$123)</f>
        <v>0</v>
      </c>
      <c r="H122" s="290">
        <f>'6.Cons Profit &amp; Loss'!G8*(1+$M$123)</f>
        <v>0</v>
      </c>
      <c r="I122" s="290">
        <f>'6.Cons Profit &amp; Loss'!H8*(1+$M$123)</f>
        <v>0</v>
      </c>
    </row>
    <row r="123" spans="2:18">
      <c r="B123" s="61" t="str">
        <f>'6.Cons Profit &amp; Loss'!A9</f>
        <v>Facility 6 - Processing Unit - Horti Commodity</v>
      </c>
      <c r="C123" s="290">
        <f>'6.Cons Profit &amp; Loss'!B9*(1+$M$123)</f>
        <v>0</v>
      </c>
      <c r="D123" s="290">
        <f>'6.Cons Profit &amp; Loss'!C9*(1+$M$123)</f>
        <v>0</v>
      </c>
      <c r="E123" s="290">
        <f>'6.Cons Profit &amp; Loss'!D9*(1+$M$123)</f>
        <v>0</v>
      </c>
      <c r="F123" s="290">
        <f>'6.Cons Profit &amp; Loss'!E9*(1+$M$123)</f>
        <v>0</v>
      </c>
      <c r="G123" s="290">
        <f>'6.Cons Profit &amp; Loss'!F9*(1+$M$123)</f>
        <v>0</v>
      </c>
      <c r="H123" s="290">
        <f>'6.Cons Profit &amp; Loss'!G9*(1+$M$123)</f>
        <v>0</v>
      </c>
      <c r="I123" s="290">
        <f>'6.Cons Profit &amp; Loss'!H9*(1+$M$123)</f>
        <v>0</v>
      </c>
      <c r="L123" s="5" t="s">
        <v>359</v>
      </c>
      <c r="M123" s="234">
        <v>0.05</v>
      </c>
    </row>
    <row r="124" spans="2:18">
      <c r="B124" s="61" t="str">
        <f>'6.Cons Profit &amp; Loss'!A10</f>
        <v>Faclitiy 3 - Warehouse</v>
      </c>
      <c r="C124" s="290">
        <f>'6.Cons Profit &amp; Loss'!B10*(1+$M$123)</f>
        <v>0</v>
      </c>
      <c r="D124" s="290">
        <f>'6.Cons Profit &amp; Loss'!C10*(1+$M$123)</f>
        <v>0</v>
      </c>
      <c r="E124" s="290">
        <f>'6.Cons Profit &amp; Loss'!D10*(1+$M$123)</f>
        <v>0</v>
      </c>
      <c r="F124" s="290">
        <f>'6.Cons Profit &amp; Loss'!E10*(1+$M$123)</f>
        <v>0</v>
      </c>
      <c r="G124" s="290">
        <f>'6.Cons Profit &amp; Loss'!F10*(1+$M$123)</f>
        <v>0</v>
      </c>
      <c r="H124" s="290">
        <f>'6.Cons Profit &amp; Loss'!G10*(1+$M$123)</f>
        <v>0</v>
      </c>
      <c r="I124" s="290">
        <f>'6.Cons Profit &amp; Loss'!H10*(1+$M$123)</f>
        <v>0</v>
      </c>
      <c r="L124" s="5" t="s">
        <v>360</v>
      </c>
      <c r="M124" s="234">
        <v>0.05</v>
      </c>
    </row>
    <row r="125" spans="2:18">
      <c r="B125" s="61" t="str">
        <f>'6.Cons Profit &amp; Loss'!A11</f>
        <v xml:space="preserve">Faclitiy 4 - Custom Hiring </v>
      </c>
      <c r="C125" s="290">
        <f>'6.Cons Profit &amp; Loss'!B11*(1+$M$123)</f>
        <v>0</v>
      </c>
      <c r="D125" s="290">
        <f>'6.Cons Profit &amp; Loss'!C11*(1+$M$123)</f>
        <v>0</v>
      </c>
      <c r="E125" s="290">
        <f>'6.Cons Profit &amp; Loss'!D11*(1+$M$123)</f>
        <v>0</v>
      </c>
      <c r="F125" s="290">
        <f>'6.Cons Profit &amp; Loss'!E11*(1+$M$123)</f>
        <v>0</v>
      </c>
      <c r="G125" s="290">
        <f>'6.Cons Profit &amp; Loss'!F11*(1+$M$123)</f>
        <v>0</v>
      </c>
      <c r="H125" s="290">
        <f>'6.Cons Profit &amp; Loss'!G11*(1+$M$123)</f>
        <v>0</v>
      </c>
      <c r="I125" s="290">
        <f>'6.Cons Profit &amp; Loss'!H11*(1+$M$123)</f>
        <v>0</v>
      </c>
    </row>
    <row r="126" spans="2:18">
      <c r="B126" s="61" t="str">
        <f>'6.Cons Profit &amp; Loss'!A12</f>
        <v>Faclitiy 5 - Agri Input Centre</v>
      </c>
      <c r="C126" s="290">
        <f>'6.Cons Profit &amp; Loss'!B12*(1+$M$123)</f>
        <v>0</v>
      </c>
      <c r="D126" s="290">
        <f>'6.Cons Profit &amp; Loss'!C12*(1+$M$123)</f>
        <v>0</v>
      </c>
      <c r="E126" s="290">
        <f>'6.Cons Profit &amp; Loss'!D12*(1+$M$123)</f>
        <v>0</v>
      </c>
      <c r="F126" s="290">
        <f>'6.Cons Profit &amp; Loss'!E12*(1+$M$123)</f>
        <v>0</v>
      </c>
      <c r="G126" s="290">
        <f>'6.Cons Profit &amp; Loss'!F12*(1+$M$123)</f>
        <v>0</v>
      </c>
      <c r="H126" s="290">
        <f>'6.Cons Profit &amp; Loss'!G12*(1+$M$123)</f>
        <v>0</v>
      </c>
      <c r="I126" s="290">
        <f>'6.Cons Profit &amp; Loss'!H12*(1+$M$123)</f>
        <v>0</v>
      </c>
    </row>
    <row r="127" spans="2:18">
      <c r="B127" s="61" t="str">
        <f>'6.Cons Profit &amp; Loss'!A13</f>
        <v>Faclitiy 2 - Processing Unit- Rice Mill</v>
      </c>
      <c r="C127" s="290">
        <f>+SUM('6.Cons Profit &amp; Loss'!B13:B15)*(1+$M$123)</f>
        <v>687.77100000000019</v>
      </c>
      <c r="D127" s="290">
        <f>+SUM('6.Cons Profit &amp; Loss'!C13:C15)*(1+$M$123)</f>
        <v>795.99712499999998</v>
      </c>
      <c r="E127" s="290">
        <f>+SUM('6.Cons Profit &amp; Loss'!D13:D15)*(1+$M$123)</f>
        <v>911.9060475</v>
      </c>
      <c r="F127" s="290">
        <f>+SUM('6.Cons Profit &amp; Loss'!E13:E15)*(1+$M$123)</f>
        <v>1037.5927607500003</v>
      </c>
      <c r="G127" s="290">
        <f>+SUM('6.Cons Profit &amp; Loss'!F13:F15)*(1+$M$123)</f>
        <v>1173.4460991750002</v>
      </c>
      <c r="H127" s="290">
        <f>+SUM('6.Cons Profit &amp; Loss'!G13:G15)*(1+$M$123)</f>
        <v>1318.843978134375</v>
      </c>
      <c r="I127" s="290">
        <f>+SUM('6.Cons Profit &amp; Loss'!H13:H15)*(1+$M$123)</f>
        <v>1477.4248559105001</v>
      </c>
    </row>
    <row r="128" spans="2:18">
      <c r="B128" s="61" t="s">
        <v>822</v>
      </c>
      <c r="C128" s="290">
        <f>+'6.Cons Profit &amp; Loss'!B18-'6.Cons Profit &amp; Loss'!B17</f>
        <v>26.439999999999998</v>
      </c>
      <c r="D128" s="290">
        <f>+'6.Cons Profit &amp; Loss'!C18-'6.Cons Profit &amp; Loss'!C17</f>
        <v>31.859499999999997</v>
      </c>
      <c r="E128" s="290">
        <f>+'6.Cons Profit &amp; Loss'!D18-'6.Cons Profit &amp; Loss'!D17</f>
        <v>37.895274999999998</v>
      </c>
      <c r="F128" s="290">
        <f>+'6.Cons Profit &amp; Loss'!E18-'6.Cons Profit &amp; Loss'!E17</f>
        <v>44.614133333333342</v>
      </c>
      <c r="G128" s="290">
        <f>+'6.Cons Profit &amp; Loss'!F18-'6.Cons Profit &amp; Loss'!F17</f>
        <v>52.046691666666675</v>
      </c>
      <c r="H128" s="290">
        <f>+'6.Cons Profit &amp; Loss'!G18-'6.Cons Profit &amp; Loss'!G17</f>
        <v>60.245399999999989</v>
      </c>
      <c r="I128" s="290">
        <f>+'6.Cons Profit &amp; Loss'!H18-'6.Cons Profit &amp; Loss'!H17</f>
        <v>69.352966666666646</v>
      </c>
    </row>
    <row r="129" spans="2:9">
      <c r="B129" s="61" t="s">
        <v>341</v>
      </c>
      <c r="C129" s="290">
        <f t="shared" ref="C129:I129" si="13">SUM(C122:C128)</f>
        <v>714.21100000000024</v>
      </c>
      <c r="D129" s="290">
        <f t="shared" si="13"/>
        <v>827.85662500000001</v>
      </c>
      <c r="E129" s="290">
        <f t="shared" si="13"/>
        <v>949.80132249999997</v>
      </c>
      <c r="F129" s="290">
        <f t="shared" si="13"/>
        <v>1082.2068940833335</v>
      </c>
      <c r="G129" s="290">
        <f t="shared" si="13"/>
        <v>1225.4927908416669</v>
      </c>
      <c r="H129" s="290">
        <f t="shared" si="13"/>
        <v>1379.089378134375</v>
      </c>
      <c r="I129" s="290">
        <f t="shared" si="13"/>
        <v>1546.7778225771667</v>
      </c>
    </row>
    <row r="130" spans="2:9">
      <c r="B130" s="61" t="s">
        <v>342</v>
      </c>
      <c r="C130" s="290"/>
      <c r="D130" s="290"/>
      <c r="E130" s="290"/>
      <c r="F130" s="290"/>
      <c r="G130" s="290"/>
      <c r="H130" s="290"/>
      <c r="I130" s="290"/>
    </row>
    <row r="131" spans="2:9">
      <c r="B131" s="61" t="s">
        <v>343</v>
      </c>
      <c r="C131" s="290">
        <f>'6.Cons Profit &amp; Loss'!B40</f>
        <v>22.715150000000001</v>
      </c>
      <c r="D131" s="290">
        <f>'6.Cons Profit &amp; Loss'!C40</f>
        <v>23.849407499999998</v>
      </c>
      <c r="E131" s="290">
        <f>'6.Cons Profit &amp; Loss'!D40</f>
        <v>25.070586375000001</v>
      </c>
      <c r="F131" s="290">
        <f>'6.Cons Profit &amp; Loss'!E40</f>
        <v>26.390890679812507</v>
      </c>
      <c r="G131" s="290">
        <f>'6.Cons Profit &amp; Loss'!F40</f>
        <v>27.83047843766154</v>
      </c>
      <c r="H131" s="290">
        <f>'6.Cons Profit &amp; Loss'!G40</f>
        <v>29.422489033614312</v>
      </c>
      <c r="I131" s="290">
        <f>'6.Cons Profit &amp; Loss'!H40</f>
        <v>31.22260571040183</v>
      </c>
    </row>
    <row r="132" spans="2:9">
      <c r="B132" s="61" t="s">
        <v>302</v>
      </c>
      <c r="C132" s="290">
        <f>'6.Cons Profit &amp; Loss'!B29*(1+M123)</f>
        <v>623.54092500000013</v>
      </c>
      <c r="D132" s="290">
        <f>'6.Cons Profit &amp; Loss'!C29*(1+N123)</f>
        <v>684.38335000000006</v>
      </c>
      <c r="E132" s="290">
        <f>'6.Cons Profit &amp; Loss'!D29*(1+O123)</f>
        <v>782.83820000000003</v>
      </c>
      <c r="F132" s="290">
        <f>'6.Cons Profit &amp; Loss'!E29*(1+P123)</f>
        <v>889.20305000000008</v>
      </c>
      <c r="G132" s="290">
        <f>'6.Cons Profit &amp; Loss'!F29*(1+Q123)</f>
        <v>1003.9078999999998</v>
      </c>
      <c r="H132" s="290">
        <f>'6.Cons Profit &amp; Loss'!G29*(1+R123)</f>
        <v>1127.7387499999998</v>
      </c>
      <c r="I132" s="290">
        <f>'6.Cons Profit &amp; Loss'!H29*(1+S123)</f>
        <v>1261.9376000000002</v>
      </c>
    </row>
    <row r="133" spans="2:9">
      <c r="B133" s="61" t="s">
        <v>344</v>
      </c>
      <c r="C133" s="290">
        <f t="shared" ref="C133:I133" si="14">SUM(C131:C132)</f>
        <v>646.25607500000012</v>
      </c>
      <c r="D133" s="290">
        <f t="shared" si="14"/>
        <v>708.23275750000005</v>
      </c>
      <c r="E133" s="290">
        <f t="shared" si="14"/>
        <v>807.90878637499998</v>
      </c>
      <c r="F133" s="290">
        <f t="shared" si="14"/>
        <v>915.59394067981259</v>
      </c>
      <c r="G133" s="290">
        <f t="shared" si="14"/>
        <v>1031.7383784376614</v>
      </c>
      <c r="H133" s="290">
        <f t="shared" si="14"/>
        <v>1157.161239033614</v>
      </c>
      <c r="I133" s="290">
        <f t="shared" si="14"/>
        <v>1293.1602057104021</v>
      </c>
    </row>
    <row r="134" spans="2:9">
      <c r="B134" s="64" t="s">
        <v>345</v>
      </c>
      <c r="C134" s="291">
        <f t="shared" ref="C134:I134" si="15">+C129-C133</f>
        <v>67.954925000000117</v>
      </c>
      <c r="D134" s="291">
        <f t="shared" si="15"/>
        <v>119.62386749999996</v>
      </c>
      <c r="E134" s="291">
        <f t="shared" si="15"/>
        <v>141.89253612499999</v>
      </c>
      <c r="F134" s="291">
        <f t="shared" si="15"/>
        <v>166.61295340352092</v>
      </c>
      <c r="G134" s="291">
        <f t="shared" si="15"/>
        <v>193.75441240400551</v>
      </c>
      <c r="H134" s="291">
        <f t="shared" si="15"/>
        <v>221.92813910076097</v>
      </c>
      <c r="I134" s="291">
        <f t="shared" si="15"/>
        <v>253.61761686676459</v>
      </c>
    </row>
    <row r="135" spans="2:9">
      <c r="B135" s="66"/>
      <c r="C135" s="67"/>
      <c r="D135" s="67"/>
      <c r="E135" s="67"/>
      <c r="F135" s="67"/>
      <c r="G135" s="67"/>
      <c r="H135" s="67"/>
      <c r="I135" s="67"/>
    </row>
    <row r="136" spans="2:9">
      <c r="B136" s="69" t="s">
        <v>346</v>
      </c>
      <c r="C136" s="70" t="s">
        <v>2</v>
      </c>
      <c r="D136" s="70" t="s">
        <v>3</v>
      </c>
      <c r="E136" s="70" t="s">
        <v>4</v>
      </c>
      <c r="F136" s="70" t="s">
        <v>5</v>
      </c>
      <c r="G136" s="70" t="s">
        <v>6</v>
      </c>
      <c r="H136" s="70" t="s">
        <v>164</v>
      </c>
      <c r="I136" s="70" t="s">
        <v>163</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Rice Mill</v>
      </c>
      <c r="C142" s="63">
        <f>+SUM('6.Cons Profit &amp; Loss'!B13:B15)</f>
        <v>655.0200000000001</v>
      </c>
      <c r="D142" s="63">
        <f>+SUM('6.Cons Profit &amp; Loss'!C13:C15)</f>
        <v>758.09249999999997</v>
      </c>
      <c r="E142" s="63">
        <f>+SUM('6.Cons Profit &amp; Loss'!D13:D15)</f>
        <v>868.48194999999998</v>
      </c>
      <c r="F142" s="63">
        <f>+SUM('6.Cons Profit &amp; Loss'!E13:E15)</f>
        <v>988.18358166666678</v>
      </c>
      <c r="G142" s="63">
        <f>+SUM('6.Cons Profit &amp; Loss'!F13:F15)</f>
        <v>1117.5677135000001</v>
      </c>
      <c r="H142" s="63">
        <f>+SUM('6.Cons Profit &amp; Loss'!G13:G15)</f>
        <v>1256.0418839375</v>
      </c>
      <c r="I142" s="63">
        <f>+SUM('6.Cons Profit &amp; Loss'!H13:H15)</f>
        <v>1407.0712913433333</v>
      </c>
    </row>
    <row r="143" spans="2:9">
      <c r="B143" s="61" t="str">
        <f t="shared" ref="B143" si="17">B128</f>
        <v>Changes In FG Closing Stock</v>
      </c>
      <c r="C143" s="290">
        <f>+'6.Cons Profit &amp; Loss'!B18-'6.Cons Profit &amp; Loss'!B17</f>
        <v>26.439999999999998</v>
      </c>
      <c r="D143" s="290">
        <f>+'6.Cons Profit &amp; Loss'!C18-'6.Cons Profit &amp; Loss'!C17</f>
        <v>31.859499999999997</v>
      </c>
      <c r="E143" s="290">
        <f>+'6.Cons Profit &amp; Loss'!D18-'6.Cons Profit &amp; Loss'!D17</f>
        <v>37.895274999999998</v>
      </c>
      <c r="F143" s="290">
        <f>+'6.Cons Profit &amp; Loss'!E18-'6.Cons Profit &amp; Loss'!E17</f>
        <v>44.614133333333342</v>
      </c>
      <c r="G143" s="290">
        <f>+'6.Cons Profit &amp; Loss'!F18-'6.Cons Profit &amp; Loss'!F17</f>
        <v>52.046691666666675</v>
      </c>
      <c r="H143" s="290">
        <f>+'6.Cons Profit &amp; Loss'!G18-'6.Cons Profit &amp; Loss'!G17</f>
        <v>60.245399999999989</v>
      </c>
      <c r="I143" s="290">
        <f>+'6.Cons Profit &amp; Loss'!H18-'6.Cons Profit &amp; Loss'!H17</f>
        <v>69.352966666666646</v>
      </c>
    </row>
    <row r="144" spans="2:9">
      <c r="B144" s="61" t="s">
        <v>341</v>
      </c>
      <c r="C144" s="63">
        <f>SUM(C137:C143)</f>
        <v>681.46</v>
      </c>
      <c r="D144" s="63">
        <f t="shared" ref="D144:I144" si="18">SUM(D137:D143)</f>
        <v>789.952</v>
      </c>
      <c r="E144" s="63">
        <f t="shared" si="18"/>
        <v>906.37722499999995</v>
      </c>
      <c r="F144" s="63">
        <f t="shared" si="18"/>
        <v>1032.7977150000002</v>
      </c>
      <c r="G144" s="63">
        <f t="shared" si="18"/>
        <v>1169.6144051666668</v>
      </c>
      <c r="H144" s="63">
        <f t="shared" si="18"/>
        <v>1316.2872839375</v>
      </c>
      <c r="I144" s="63">
        <f t="shared" si="18"/>
        <v>1476.4242580099999</v>
      </c>
    </row>
    <row r="145" spans="2:15">
      <c r="B145" s="61" t="s">
        <v>342</v>
      </c>
      <c r="C145" s="68"/>
      <c r="D145" s="63"/>
      <c r="E145" s="63"/>
      <c r="F145" s="63"/>
      <c r="G145" s="63"/>
      <c r="H145" s="63"/>
      <c r="I145" s="63"/>
    </row>
    <row r="146" spans="2:15">
      <c r="B146" s="61" t="s">
        <v>343</v>
      </c>
      <c r="C146" s="62">
        <f>'6.Cons Profit &amp; Loss'!B40*(1+$M$124)</f>
        <v>23.850907500000002</v>
      </c>
      <c r="D146" s="62">
        <f>'6.Cons Profit &amp; Loss'!C40*(1+$M$124)</f>
        <v>25.041877874999997</v>
      </c>
      <c r="E146" s="62">
        <f>'6.Cons Profit &amp; Loss'!D40*(1+$M$124)</f>
        <v>26.324115693750002</v>
      </c>
      <c r="F146" s="62">
        <f>'6.Cons Profit &amp; Loss'!E40*(1+$M$124)</f>
        <v>27.710435213803134</v>
      </c>
      <c r="G146" s="62">
        <f>'6.Cons Profit &amp; Loss'!F40*(1+$M$124)</f>
        <v>29.222002359544618</v>
      </c>
      <c r="H146" s="62">
        <f>'6.Cons Profit &amp; Loss'!G40*(1+$M$124)</f>
        <v>30.893613485295027</v>
      </c>
      <c r="I146" s="62">
        <f>'6.Cons Profit &amp; Loss'!H40*(1+$M$124)</f>
        <v>32.783735995921923</v>
      </c>
    </row>
    <row r="147" spans="2:15">
      <c r="B147" s="61" t="s">
        <v>302</v>
      </c>
      <c r="C147" s="62">
        <f>'6.Cons Profit &amp; Loss'!B29*(1+$M$124)</f>
        <v>623.54092500000013</v>
      </c>
      <c r="D147" s="62">
        <f>'6.Cons Profit &amp; Loss'!C29*(1+$M$124)</f>
        <v>718.60251750000009</v>
      </c>
      <c r="E147" s="62">
        <f>'6.Cons Profit &amp; Loss'!D29*(1+$M$124)</f>
        <v>821.98011000000008</v>
      </c>
      <c r="F147" s="62">
        <f>'6.Cons Profit &amp; Loss'!E29*(1+$M$124)</f>
        <v>933.66320250000012</v>
      </c>
      <c r="G147" s="62">
        <f>'6.Cons Profit &amp; Loss'!F29*(1+$M$124)</f>
        <v>1054.1032949999999</v>
      </c>
      <c r="H147" s="62">
        <f>'6.Cons Profit &amp; Loss'!G29*(1+$M$124)</f>
        <v>1184.1256874999997</v>
      </c>
      <c r="I147" s="62">
        <f>'6.Cons Profit &amp; Loss'!H29*(1+$M$124)</f>
        <v>1325.0344800000003</v>
      </c>
    </row>
    <row r="148" spans="2:15">
      <c r="B148" s="61" t="s">
        <v>344</v>
      </c>
      <c r="C148" s="62">
        <f t="shared" ref="C148:I148" si="19">SUM(C146:C147)</f>
        <v>647.39183250000008</v>
      </c>
      <c r="D148" s="62">
        <f t="shared" si="19"/>
        <v>743.64439537500004</v>
      </c>
      <c r="E148" s="62">
        <f t="shared" si="19"/>
        <v>848.30422569375014</v>
      </c>
      <c r="F148" s="62">
        <f t="shared" si="19"/>
        <v>961.3736377138033</v>
      </c>
      <c r="G148" s="62">
        <f t="shared" si="19"/>
        <v>1083.3252973595445</v>
      </c>
      <c r="H148" s="62">
        <f t="shared" si="19"/>
        <v>1215.0193009852946</v>
      </c>
      <c r="I148" s="62">
        <f t="shared" si="19"/>
        <v>1357.8182159959222</v>
      </c>
    </row>
    <row r="149" spans="2:15">
      <c r="B149" s="64" t="s">
        <v>345</v>
      </c>
      <c r="C149" s="65">
        <f t="shared" ref="C149:I149" si="20">+C144-C148</f>
        <v>34.068167499999959</v>
      </c>
      <c r="D149" s="65">
        <f t="shared" si="20"/>
        <v>46.307604624999954</v>
      </c>
      <c r="E149" s="65">
        <f t="shared" si="20"/>
        <v>58.072999306249812</v>
      </c>
      <c r="F149" s="65">
        <f t="shared" si="20"/>
        <v>71.424077286196848</v>
      </c>
      <c r="G149" s="65">
        <f t="shared" si="20"/>
        <v>86.289107807122264</v>
      </c>
      <c r="H149" s="65">
        <f t="shared" si="20"/>
        <v>101.26798295220533</v>
      </c>
      <c r="I149" s="65">
        <f t="shared" si="20"/>
        <v>118.60604201407773</v>
      </c>
      <c r="N149" s="4"/>
      <c r="O149" s="6"/>
    </row>
    <row r="150" spans="2:15">
      <c r="B150" s="66"/>
      <c r="C150" s="67"/>
      <c r="D150" s="67"/>
      <c r="E150" s="67"/>
      <c r="F150" s="67"/>
      <c r="G150" s="67"/>
      <c r="H150" s="67"/>
      <c r="I150" s="67"/>
    </row>
    <row r="151" spans="2:15">
      <c r="B151" s="69" t="s">
        <v>347</v>
      </c>
      <c r="C151" s="70" t="s">
        <v>2</v>
      </c>
      <c r="D151" s="70" t="s">
        <v>3</v>
      </c>
      <c r="E151" s="70" t="s">
        <v>4</v>
      </c>
      <c r="F151" s="70" t="s">
        <v>5</v>
      </c>
      <c r="G151" s="70" t="s">
        <v>6</v>
      </c>
      <c r="H151" s="70" t="s">
        <v>164</v>
      </c>
      <c r="I151" s="70" t="s">
        <v>163</v>
      </c>
    </row>
    <row r="152" spans="2:15">
      <c r="B152" s="61" t="str">
        <f t="shared" ref="B152:B158" si="21">B137</f>
        <v>Faclitiy 1 - Cleaning &amp; Grading</v>
      </c>
      <c r="C152" s="290">
        <f>'6.Cons Profit &amp; Loss'!B8*(1-$M$123)</f>
        <v>0</v>
      </c>
      <c r="D152" s="290">
        <f>'6.Cons Profit &amp; Loss'!C8*(1-$M$123)</f>
        <v>0</v>
      </c>
      <c r="E152" s="290">
        <f>'6.Cons Profit &amp; Loss'!D8*(1-$M$123)</f>
        <v>0</v>
      </c>
      <c r="F152" s="290">
        <f>'6.Cons Profit &amp; Loss'!E8*(1-$M$123)</f>
        <v>0</v>
      </c>
      <c r="G152" s="290">
        <f>'6.Cons Profit &amp; Loss'!F8*(1-$M$123)</f>
        <v>0</v>
      </c>
      <c r="H152" s="290">
        <f>'6.Cons Profit &amp; Loss'!G8*(1-$M$123)</f>
        <v>0</v>
      </c>
      <c r="I152" s="290">
        <f>'6.Cons Profit &amp; Loss'!H8*(1-$M$123)</f>
        <v>0</v>
      </c>
    </row>
    <row r="153" spans="2:15">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c r="B157" s="61" t="str">
        <f t="shared" si="21"/>
        <v>Faclitiy 2 - Processing Unit- Rice Mill</v>
      </c>
      <c r="C157" s="524">
        <f>+SUM('6.Cons Profit &amp; Loss'!B13:B15)*(1-$M$123)</f>
        <v>622.26900000000001</v>
      </c>
      <c r="D157" s="524">
        <f>'6.Cons Profit &amp; Loss'!C13*(1-$M$123)</f>
        <v>684.63697499999989</v>
      </c>
      <c r="E157" s="524">
        <f>'6.Cons Profit &amp; Loss'!D13*(1-$M$123)</f>
        <v>784.33591249999995</v>
      </c>
      <c r="F157" s="524">
        <f>'6.Cons Profit &amp; Loss'!E13*(1-$M$123)</f>
        <v>892.45319583333333</v>
      </c>
      <c r="G157" s="524">
        <f>'6.Cons Profit &amp; Loss'!F13*(1-$M$123)</f>
        <v>1009.3107325</v>
      </c>
      <c r="H157" s="524">
        <f>'6.Cons Profit &amp; Loss'!G13*(1-$M$123)</f>
        <v>1134.31387</v>
      </c>
      <c r="I157" s="524">
        <f>'6.Cons Profit &amp; Loss'!H13*(1-$M$123)</f>
        <v>1270.7206966666665</v>
      </c>
    </row>
    <row r="158" spans="2:15">
      <c r="B158" s="61" t="str">
        <f t="shared" si="21"/>
        <v>Changes In FG Closing Stock</v>
      </c>
      <c r="C158" s="524">
        <f>+'6.Cons Profit &amp; Loss'!B18-'6.Cons Profit &amp; Loss'!B17</f>
        <v>26.439999999999998</v>
      </c>
      <c r="D158" s="524">
        <f>+'6.Cons Profit &amp; Loss'!C18-'6.Cons Profit &amp; Loss'!C17</f>
        <v>31.859499999999997</v>
      </c>
      <c r="E158" s="524">
        <f>+'6.Cons Profit &amp; Loss'!D18-'6.Cons Profit &amp; Loss'!D17</f>
        <v>37.895274999999998</v>
      </c>
      <c r="F158" s="524">
        <f>+'6.Cons Profit &amp; Loss'!E18-'6.Cons Profit &amp; Loss'!E17</f>
        <v>44.614133333333342</v>
      </c>
      <c r="G158" s="524">
        <f>+'6.Cons Profit &amp; Loss'!F18-'6.Cons Profit &amp; Loss'!F17</f>
        <v>52.046691666666675</v>
      </c>
      <c r="H158" s="524">
        <f>+'6.Cons Profit &amp; Loss'!G18-'6.Cons Profit &amp; Loss'!G17</f>
        <v>60.245399999999989</v>
      </c>
      <c r="I158" s="524">
        <f>+'6.Cons Profit &amp; Loss'!H18-'6.Cons Profit &amp; Loss'!H17</f>
        <v>69.352966666666646</v>
      </c>
    </row>
    <row r="159" spans="2:15">
      <c r="B159" s="61" t="s">
        <v>341</v>
      </c>
      <c r="C159" s="524">
        <f>SUM(C152:C158)</f>
        <v>648.70900000000006</v>
      </c>
      <c r="D159" s="524">
        <f t="shared" ref="D159:I159" si="22">SUM(D152:D158)</f>
        <v>716.49647499999992</v>
      </c>
      <c r="E159" s="524">
        <f t="shared" si="22"/>
        <v>822.23118749999992</v>
      </c>
      <c r="F159" s="524">
        <f t="shared" si="22"/>
        <v>937.0673291666667</v>
      </c>
      <c r="G159" s="524">
        <f t="shared" si="22"/>
        <v>1061.3574241666665</v>
      </c>
      <c r="H159" s="524">
        <f t="shared" si="22"/>
        <v>1194.55927</v>
      </c>
      <c r="I159" s="524">
        <f t="shared" si="22"/>
        <v>1340.0736633333331</v>
      </c>
    </row>
    <row r="160" spans="2:15">
      <c r="B160" s="61" t="s">
        <v>342</v>
      </c>
      <c r="C160" s="524"/>
      <c r="D160" s="524"/>
      <c r="E160" s="524"/>
      <c r="F160" s="524"/>
      <c r="G160" s="524"/>
      <c r="H160" s="524"/>
      <c r="I160" s="524"/>
    </row>
    <row r="161" spans="2:9">
      <c r="B161" s="61" t="s">
        <v>343</v>
      </c>
      <c r="C161" s="524">
        <f>'6.Cons Profit &amp; Loss'!B40</f>
        <v>22.715150000000001</v>
      </c>
      <c r="D161" s="524">
        <f>'6.Cons Profit &amp; Loss'!C40</f>
        <v>23.849407499999998</v>
      </c>
      <c r="E161" s="524">
        <f>'6.Cons Profit &amp; Loss'!D40</f>
        <v>25.070586375000001</v>
      </c>
      <c r="F161" s="524">
        <f>'6.Cons Profit &amp; Loss'!E40</f>
        <v>26.390890679812507</v>
      </c>
      <c r="G161" s="524">
        <f>'6.Cons Profit &amp; Loss'!F40</f>
        <v>27.83047843766154</v>
      </c>
      <c r="H161" s="524">
        <f>'6.Cons Profit &amp; Loss'!G40</f>
        <v>29.422489033614312</v>
      </c>
      <c r="I161" s="524">
        <f>'6.Cons Profit &amp; Loss'!H40</f>
        <v>31.22260571040183</v>
      </c>
    </row>
    <row r="162" spans="2:9">
      <c r="B162" s="61" t="s">
        <v>302</v>
      </c>
      <c r="C162" s="524">
        <f>'6.Cons Profit &amp; Loss'!B29*(1-$M$123)</f>
        <v>564.15607499999999</v>
      </c>
      <c r="D162" s="524">
        <f>'6.Cons Profit &amp; Loss'!C29*(1-$M$123)</f>
        <v>650.16418250000004</v>
      </c>
      <c r="E162" s="524">
        <f>'6.Cons Profit &amp; Loss'!D29*(1-$M$123)</f>
        <v>743.69628999999998</v>
      </c>
      <c r="F162" s="524">
        <f>'6.Cons Profit &amp; Loss'!E29*(1-$M$123)</f>
        <v>844.74289750000003</v>
      </c>
      <c r="G162" s="524">
        <f>'6.Cons Profit &amp; Loss'!F29*(1-$M$123)</f>
        <v>953.71250499999974</v>
      </c>
      <c r="H162" s="524">
        <f>'6.Cons Profit &amp; Loss'!G29*(1-$M$123)</f>
        <v>1071.3518124999998</v>
      </c>
      <c r="I162" s="524">
        <f>'6.Cons Profit &amp; Loss'!H29*(1-$M$123)</f>
        <v>1198.8407200000001</v>
      </c>
    </row>
    <row r="163" spans="2:9">
      <c r="B163" s="61" t="s">
        <v>344</v>
      </c>
      <c r="C163" s="524">
        <f t="shared" ref="C163:I163" si="23">SUM(C161:C162)</f>
        <v>586.87122499999998</v>
      </c>
      <c r="D163" s="524">
        <f t="shared" si="23"/>
        <v>674.01359000000002</v>
      </c>
      <c r="E163" s="524">
        <f t="shared" si="23"/>
        <v>768.76687637499992</v>
      </c>
      <c r="F163" s="524">
        <f t="shared" si="23"/>
        <v>871.13378817981254</v>
      </c>
      <c r="G163" s="524">
        <f t="shared" si="23"/>
        <v>981.54298343766129</v>
      </c>
      <c r="H163" s="524">
        <f t="shared" si="23"/>
        <v>1100.7743015336141</v>
      </c>
      <c r="I163" s="524">
        <f t="shared" si="23"/>
        <v>1230.0633257104021</v>
      </c>
    </row>
    <row r="164" spans="2:9">
      <c r="B164" s="64" t="s">
        <v>345</v>
      </c>
      <c r="C164" s="525">
        <f t="shared" ref="C164:I164" si="24">+C159-C163</f>
        <v>61.837775000000079</v>
      </c>
      <c r="D164" s="525">
        <f t="shared" si="24"/>
        <v>42.482884999999897</v>
      </c>
      <c r="E164" s="525">
        <f t="shared" si="24"/>
        <v>53.464311124999995</v>
      </c>
      <c r="F164" s="525">
        <f t="shared" si="24"/>
        <v>65.933540986854155</v>
      </c>
      <c r="G164" s="525">
        <f t="shared" si="24"/>
        <v>79.814440729005241</v>
      </c>
      <c r="H164" s="525">
        <f t="shared" si="24"/>
        <v>93.784968466385862</v>
      </c>
      <c r="I164" s="525">
        <f t="shared" si="24"/>
        <v>110.01033762293105</v>
      </c>
    </row>
    <row r="165" spans="2:9">
      <c r="B165" s="13"/>
      <c r="C165" s="526"/>
      <c r="D165" s="526"/>
      <c r="E165" s="526"/>
      <c r="F165" s="526"/>
      <c r="G165" s="526"/>
      <c r="H165" s="526"/>
      <c r="I165" s="526"/>
    </row>
    <row r="166" spans="2:9">
      <c r="B166" s="69" t="s">
        <v>348</v>
      </c>
      <c r="C166" s="527" t="s">
        <v>2</v>
      </c>
      <c r="D166" s="527" t="s">
        <v>3</v>
      </c>
      <c r="E166" s="527" t="s">
        <v>4</v>
      </c>
      <c r="F166" s="527" t="s">
        <v>5</v>
      </c>
      <c r="G166" s="527" t="s">
        <v>6</v>
      </c>
      <c r="H166" s="527" t="s">
        <v>164</v>
      </c>
      <c r="I166" s="527" t="s">
        <v>163</v>
      </c>
    </row>
    <row r="167" spans="2:9">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c r="B172" s="61" t="str">
        <f t="shared" si="25"/>
        <v>Faclitiy 2 - Processing Unit- Rice Mill</v>
      </c>
      <c r="C172" s="528">
        <f>+SUM('6.Cons Profit &amp; Loss'!B13:B15)</f>
        <v>655.0200000000001</v>
      </c>
      <c r="D172" s="528">
        <f>+SUM('6.Cons Profit &amp; Loss'!C13:C15)</f>
        <v>758.09249999999997</v>
      </c>
      <c r="E172" s="528">
        <f>+SUM('6.Cons Profit &amp; Loss'!D13:D15)</f>
        <v>868.48194999999998</v>
      </c>
      <c r="F172" s="528">
        <f>+SUM('6.Cons Profit &amp; Loss'!E13:E15)</f>
        <v>988.18358166666678</v>
      </c>
      <c r="G172" s="528">
        <f>+SUM('6.Cons Profit &amp; Loss'!F13:F15)</f>
        <v>1117.5677135000001</v>
      </c>
      <c r="H172" s="528">
        <f>+SUM('6.Cons Profit &amp; Loss'!G13:G15)</f>
        <v>1256.0418839375</v>
      </c>
      <c r="I172" s="528">
        <f>+SUM('6.Cons Profit &amp; Loss'!H13:H15)</f>
        <v>1407.0712913433333</v>
      </c>
    </row>
    <row r="173" spans="2:9">
      <c r="B173" s="61" t="str">
        <f t="shared" si="25"/>
        <v>Changes In FG Closing Stock</v>
      </c>
      <c r="C173" s="528">
        <f>+'6.Cons Profit &amp; Loss'!B18-'6.Cons Profit &amp; Loss'!B17</f>
        <v>26.439999999999998</v>
      </c>
      <c r="D173" s="528">
        <f>+'6.Cons Profit &amp; Loss'!C18-'6.Cons Profit &amp; Loss'!C17</f>
        <v>31.859499999999997</v>
      </c>
      <c r="E173" s="528">
        <f>+'6.Cons Profit &amp; Loss'!D18-'6.Cons Profit &amp; Loss'!D17</f>
        <v>37.895274999999998</v>
      </c>
      <c r="F173" s="528">
        <f>+'6.Cons Profit &amp; Loss'!E18-'6.Cons Profit &amp; Loss'!E17</f>
        <v>44.614133333333342</v>
      </c>
      <c r="G173" s="528">
        <f>+'6.Cons Profit &amp; Loss'!F18-'6.Cons Profit &amp; Loss'!F17</f>
        <v>52.046691666666675</v>
      </c>
      <c r="H173" s="528">
        <f>+'6.Cons Profit &amp; Loss'!G18-'6.Cons Profit &amp; Loss'!G17</f>
        <v>60.245399999999989</v>
      </c>
      <c r="I173" s="528">
        <f>+'6.Cons Profit &amp; Loss'!H18-'6.Cons Profit &amp; Loss'!H17</f>
        <v>69.352966666666646</v>
      </c>
    </row>
    <row r="174" spans="2:9">
      <c r="B174" s="61" t="s">
        <v>341</v>
      </c>
      <c r="C174" s="528">
        <f>SUM(C167:C173)</f>
        <v>681.46</v>
      </c>
      <c r="D174" s="528">
        <f t="shared" ref="D174:I174" si="26">SUM(D167:D173)</f>
        <v>789.952</v>
      </c>
      <c r="E174" s="528">
        <f t="shared" si="26"/>
        <v>906.37722499999995</v>
      </c>
      <c r="F174" s="528">
        <f t="shared" si="26"/>
        <v>1032.7977150000002</v>
      </c>
      <c r="G174" s="528">
        <f t="shared" si="26"/>
        <v>1169.6144051666668</v>
      </c>
      <c r="H174" s="528">
        <f t="shared" si="26"/>
        <v>1316.2872839375</v>
      </c>
      <c r="I174" s="528">
        <f t="shared" si="26"/>
        <v>1476.4242580099999</v>
      </c>
    </row>
    <row r="175" spans="2:9">
      <c r="B175" s="61" t="s">
        <v>342</v>
      </c>
      <c r="C175" s="528"/>
      <c r="D175" s="528"/>
      <c r="E175" s="528"/>
      <c r="F175" s="528"/>
      <c r="G175" s="528"/>
      <c r="H175" s="528"/>
      <c r="I175" s="528"/>
    </row>
    <row r="176" spans="2:9">
      <c r="B176" s="61" t="s">
        <v>343</v>
      </c>
      <c r="C176" s="528">
        <f>'6.Cons Profit &amp; Loss'!B40*(1-$M$124)</f>
        <v>21.579392500000001</v>
      </c>
      <c r="D176" s="528">
        <f>'6.Cons Profit &amp; Loss'!C40*(1-$M$124)</f>
        <v>22.656937124999999</v>
      </c>
      <c r="E176" s="528">
        <f>'6.Cons Profit &amp; Loss'!D40*(1-$M$124)</f>
        <v>23.81705705625</v>
      </c>
      <c r="F176" s="528">
        <f>'6.Cons Profit &amp; Loss'!E40*(1-$M$124)</f>
        <v>25.071346145821881</v>
      </c>
      <c r="G176" s="528">
        <f>'6.Cons Profit &amp; Loss'!F40*(1-$M$124)</f>
        <v>26.438954515778462</v>
      </c>
      <c r="H176" s="528">
        <f>'6.Cons Profit &amp; Loss'!G40*(1-$M$124)</f>
        <v>27.951364581933596</v>
      </c>
      <c r="I176" s="528">
        <f>'6.Cons Profit &amp; Loss'!H40*(1-$M$124)</f>
        <v>29.661475424881736</v>
      </c>
    </row>
    <row r="177" spans="2:13">
      <c r="B177" s="61" t="s">
        <v>302</v>
      </c>
      <c r="C177" s="528">
        <f>'6.Cons Profit &amp; Loss'!B29*(1-$M$124)</f>
        <v>564.15607499999999</v>
      </c>
      <c r="D177" s="528">
        <f>'6.Cons Profit &amp; Loss'!C29*(1-$M$124)</f>
        <v>650.16418250000004</v>
      </c>
      <c r="E177" s="528">
        <f>'6.Cons Profit &amp; Loss'!D29*(1-$M$124)</f>
        <v>743.69628999999998</v>
      </c>
      <c r="F177" s="528">
        <f>'6.Cons Profit &amp; Loss'!E29*(1-$M$124)</f>
        <v>844.74289750000003</v>
      </c>
      <c r="G177" s="528">
        <f>'6.Cons Profit &amp; Loss'!F29*(1-$M$124)</f>
        <v>953.71250499999974</v>
      </c>
      <c r="H177" s="528">
        <f>'6.Cons Profit &amp; Loss'!G29*(1-$M$124)</f>
        <v>1071.3518124999998</v>
      </c>
      <c r="I177" s="528">
        <f>'6.Cons Profit &amp; Loss'!H29*(1-$M$124)</f>
        <v>1198.8407200000001</v>
      </c>
    </row>
    <row r="178" spans="2:13">
      <c r="B178" s="61" t="s">
        <v>344</v>
      </c>
      <c r="C178" s="528">
        <f>SUM(C176:C177)</f>
        <v>585.73546750000003</v>
      </c>
      <c r="D178" s="528">
        <f t="shared" ref="D178:I178" si="27">SUM(D176:D177)</f>
        <v>672.82111962500005</v>
      </c>
      <c r="E178" s="528">
        <f t="shared" si="27"/>
        <v>767.51334705624993</v>
      </c>
      <c r="F178" s="528">
        <f t="shared" si="27"/>
        <v>869.81424364582188</v>
      </c>
      <c r="G178" s="528">
        <f t="shared" si="27"/>
        <v>980.15145951577824</v>
      </c>
      <c r="H178" s="528">
        <f t="shared" si="27"/>
        <v>1099.3031770819334</v>
      </c>
      <c r="I178" s="528">
        <f t="shared" si="27"/>
        <v>1228.5021954248818</v>
      </c>
    </row>
    <row r="179" spans="2:13">
      <c r="B179" s="64" t="s">
        <v>345</v>
      </c>
      <c r="C179" s="65">
        <f t="shared" ref="C179:I179" si="28">+C174-C178</f>
        <v>95.724532500000009</v>
      </c>
      <c r="D179" s="65">
        <f t="shared" si="28"/>
        <v>117.13088037499995</v>
      </c>
      <c r="E179" s="65">
        <f t="shared" si="28"/>
        <v>138.86387794375003</v>
      </c>
      <c r="F179" s="65">
        <f t="shared" si="28"/>
        <v>162.98347135417828</v>
      </c>
      <c r="G179" s="65">
        <f t="shared" si="28"/>
        <v>189.46294565088851</v>
      </c>
      <c r="H179" s="65">
        <f t="shared" si="28"/>
        <v>216.98410685556655</v>
      </c>
      <c r="I179" s="65">
        <f t="shared" si="28"/>
        <v>247.92206258511806</v>
      </c>
    </row>
    <row r="181" spans="2:13" ht="41.1" customHeight="1">
      <c r="B181" s="759" t="s">
        <v>511</v>
      </c>
      <c r="C181" s="759"/>
      <c r="D181" s="759"/>
      <c r="E181" s="759"/>
      <c r="F181" s="759"/>
      <c r="G181" s="759"/>
      <c r="H181" s="759"/>
      <c r="I181" s="759"/>
      <c r="J181" s="296"/>
      <c r="K181" s="296"/>
      <c r="L181" s="296"/>
      <c r="M181" s="296"/>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Normal="100" zoomScaleSheetLayoutView="85" workbookViewId="0">
      <selection activeCell="D24" sqref="D24"/>
    </sheetView>
  </sheetViews>
  <sheetFormatPr defaultRowHeight="15"/>
  <cols>
    <col min="1" max="1" width="32.140625" customWidth="1"/>
    <col min="2" max="2" width="23.28515625" bestFit="1" customWidth="1"/>
    <col min="3" max="8" width="12.140625" customWidth="1"/>
    <col min="9" max="9" width="11.42578125" bestFit="1" customWidth="1"/>
    <col min="10" max="11" width="10.7109375" bestFit="1" customWidth="1"/>
    <col min="12" max="16" width="11.140625" bestFit="1" customWidth="1"/>
  </cols>
  <sheetData>
    <row r="1" spans="1:24" ht="18.75">
      <c r="A1" s="703" t="s">
        <v>960</v>
      </c>
      <c r="B1" s="703"/>
      <c r="C1" s="703"/>
      <c r="D1" s="703"/>
      <c r="E1" s="703"/>
      <c r="F1" s="703"/>
      <c r="G1" s="703"/>
      <c r="H1" s="703"/>
    </row>
    <row r="2" spans="1:24">
      <c r="B2" s="4"/>
    </row>
    <row r="3" spans="1:24" ht="18.75">
      <c r="A3" s="733" t="s">
        <v>544</v>
      </c>
      <c r="B3" s="733"/>
    </row>
    <row r="4" spans="1:24">
      <c r="A4" s="245" t="s">
        <v>0</v>
      </c>
      <c r="B4" s="263" t="s">
        <v>379</v>
      </c>
      <c r="C4" s="264"/>
      <c r="D4" s="264"/>
      <c r="E4" s="264"/>
      <c r="F4" s="264"/>
      <c r="G4" s="264"/>
      <c r="H4" s="264"/>
    </row>
    <row r="5" spans="1:24">
      <c r="A5" s="10" t="s">
        <v>480</v>
      </c>
      <c r="B5" s="242">
        <v>1419</v>
      </c>
      <c r="C5" s="265"/>
      <c r="D5" s="266"/>
      <c r="E5" s="266"/>
      <c r="F5" s="266"/>
      <c r="G5" s="266"/>
      <c r="H5" s="266"/>
      <c r="J5" s="627">
        <f>+B5</f>
        <v>1419</v>
      </c>
      <c r="K5" s="627">
        <f>+J5*1.2</f>
        <v>1702.8</v>
      </c>
      <c r="L5" s="627">
        <f t="shared" ref="L5:P6" si="0">+K5*1.2</f>
        <v>2043.36</v>
      </c>
      <c r="M5" s="627">
        <f t="shared" si="0"/>
        <v>2452.0319999999997</v>
      </c>
      <c r="N5" s="627">
        <f t="shared" si="0"/>
        <v>2942.4383999999995</v>
      </c>
      <c r="O5" s="627">
        <f t="shared" si="0"/>
        <v>3530.9260799999993</v>
      </c>
      <c r="P5" s="627">
        <f t="shared" si="0"/>
        <v>4237.1112959999991</v>
      </c>
    </row>
    <row r="6" spans="1:24">
      <c r="A6" s="10" t="s">
        <v>481</v>
      </c>
      <c r="B6" s="242">
        <v>1000</v>
      </c>
      <c r="C6" s="265"/>
      <c r="D6" s="266"/>
      <c r="E6" s="266"/>
      <c r="F6" s="266"/>
      <c r="G6" s="266"/>
      <c r="H6" s="266"/>
      <c r="J6" s="627">
        <f>+B6</f>
        <v>1000</v>
      </c>
      <c r="K6" s="627">
        <f t="shared" ref="K6:M6" si="1">+J6*1.2</f>
        <v>1200</v>
      </c>
      <c r="L6" s="627">
        <f t="shared" si="1"/>
        <v>1440</v>
      </c>
      <c r="M6" s="627">
        <f t="shared" si="1"/>
        <v>1728</v>
      </c>
      <c r="N6" s="627">
        <f t="shared" si="0"/>
        <v>2073.6</v>
      </c>
      <c r="O6" s="627">
        <f t="shared" si="0"/>
        <v>2488.3199999999997</v>
      </c>
      <c r="P6" s="627">
        <f t="shared" si="0"/>
        <v>2985.9839999999995</v>
      </c>
    </row>
    <row r="7" spans="1:24">
      <c r="A7" s="2" t="s">
        <v>1</v>
      </c>
      <c r="B7" s="288">
        <f>B5+B6</f>
        <v>2419</v>
      </c>
      <c r="C7" s="267"/>
      <c r="D7" s="268"/>
      <c r="E7" s="268"/>
      <c r="F7" s="268"/>
      <c r="G7" s="268"/>
      <c r="H7" s="268"/>
    </row>
    <row r="8" spans="1:24">
      <c r="A8" s="2" t="s">
        <v>664</v>
      </c>
      <c r="B8" s="287">
        <v>2</v>
      </c>
      <c r="C8" s="267"/>
      <c r="D8" s="267"/>
      <c r="E8" s="267"/>
      <c r="F8" s="267"/>
      <c r="G8" s="267"/>
      <c r="H8" s="267"/>
    </row>
    <row r="9" spans="1:24">
      <c r="A9" s="2" t="s">
        <v>665</v>
      </c>
      <c r="B9" s="288">
        <f>+B7*B8</f>
        <v>4838</v>
      </c>
      <c r="C9" s="268"/>
      <c r="D9" s="268"/>
      <c r="E9" s="268"/>
      <c r="F9" s="268"/>
      <c r="G9" s="268"/>
      <c r="H9" s="268"/>
    </row>
    <row r="11" spans="1:24" ht="18.75">
      <c r="A11" s="703" t="s">
        <v>545</v>
      </c>
      <c r="B11" s="703"/>
      <c r="C11" s="703"/>
      <c r="D11" s="703"/>
      <c r="E11" s="703"/>
      <c r="F11" s="703"/>
      <c r="G11" s="703"/>
      <c r="H11" s="703"/>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381</v>
      </c>
      <c r="B13" s="245" t="s">
        <v>382</v>
      </c>
      <c r="C13" s="246" t="s">
        <v>441</v>
      </c>
      <c r="D13" s="246" t="s">
        <v>666</v>
      </c>
      <c r="E13" s="246" t="s">
        <v>823</v>
      </c>
      <c r="F13" s="246" t="s">
        <v>824</v>
      </c>
      <c r="G13" s="246" t="s">
        <v>612</v>
      </c>
      <c r="H13" s="246" t="s">
        <v>825</v>
      </c>
      <c r="O13" s="258"/>
      <c r="P13" s="258"/>
      <c r="Q13" s="258"/>
      <c r="R13" s="258"/>
      <c r="S13" s="258"/>
      <c r="T13" s="258"/>
      <c r="U13" s="258"/>
      <c r="V13" s="258"/>
      <c r="W13" s="258"/>
      <c r="X13" s="258"/>
    </row>
    <row r="14" spans="1:24">
      <c r="A14" s="737"/>
      <c r="B14" s="242" t="s">
        <v>935</v>
      </c>
      <c r="C14" s="256">
        <v>0.7</v>
      </c>
      <c r="D14" s="530">
        <f>+B9*C14</f>
        <v>3386.6</v>
      </c>
      <c r="E14" s="243">
        <v>3</v>
      </c>
      <c r="F14" s="680">
        <f>+D14*E14</f>
        <v>10159.799999999999</v>
      </c>
      <c r="G14" s="257">
        <v>0.15</v>
      </c>
      <c r="H14" s="603">
        <f>+F14*0.85</f>
        <v>8635.83</v>
      </c>
      <c r="J14" s="529">
        <f>450+'13.Facility 2 Grain Processing-'!B32</f>
        <v>2850</v>
      </c>
    </row>
    <row r="15" spans="1:24">
      <c r="A15" s="738"/>
      <c r="B15" s="242" t="s">
        <v>706</v>
      </c>
      <c r="C15" s="256">
        <v>0</v>
      </c>
      <c r="D15" s="530">
        <v>0</v>
      </c>
      <c r="E15" s="243">
        <v>3.7</v>
      </c>
      <c r="F15" s="10">
        <v>0</v>
      </c>
      <c r="G15" s="257">
        <v>0.2</v>
      </c>
      <c r="H15" s="603">
        <v>0</v>
      </c>
      <c r="I15" s="326"/>
      <c r="J15" s="529">
        <f>450+'13.Facility 2 Grain Processing-'!B33</f>
        <v>450</v>
      </c>
    </row>
    <row r="16" spans="1:24">
      <c r="A16" s="738"/>
      <c r="B16" s="242" t="s">
        <v>706</v>
      </c>
      <c r="C16" s="256">
        <v>0.01</v>
      </c>
      <c r="D16" s="530">
        <v>0</v>
      </c>
      <c r="E16" s="243">
        <v>25</v>
      </c>
      <c r="F16" s="10">
        <v>0</v>
      </c>
      <c r="G16" s="257">
        <v>0.2</v>
      </c>
      <c r="H16" s="603">
        <v>0</v>
      </c>
      <c r="J16" s="529">
        <f>450+'13.Facility 2 Grain Processing-'!B34</f>
        <v>450</v>
      </c>
    </row>
    <row r="17" spans="1:10">
      <c r="A17" s="286"/>
      <c r="B17" s="281" t="s">
        <v>706</v>
      </c>
      <c r="C17" s="256">
        <v>0</v>
      </c>
      <c r="D17" s="530">
        <v>0</v>
      </c>
      <c r="E17" s="243">
        <v>0</v>
      </c>
      <c r="F17" s="10">
        <v>0</v>
      </c>
      <c r="G17" s="257">
        <v>0.2</v>
      </c>
      <c r="H17" s="603">
        <v>0</v>
      </c>
      <c r="J17" s="529">
        <v>0</v>
      </c>
    </row>
    <row r="18" spans="1:10">
      <c r="A18" s="286" t="s">
        <v>485</v>
      </c>
      <c r="B18" s="281" t="s">
        <v>706</v>
      </c>
      <c r="C18" s="256">
        <v>0</v>
      </c>
      <c r="D18" s="530">
        <v>0</v>
      </c>
      <c r="E18" s="243">
        <v>37</v>
      </c>
      <c r="F18" s="10">
        <v>0</v>
      </c>
      <c r="G18" s="257">
        <v>0.2</v>
      </c>
      <c r="H18" s="603">
        <f t="shared" ref="H18" si="2">+F18*0.8</f>
        <v>0</v>
      </c>
      <c r="J18" s="529">
        <f>450+'13.Facility 2 Grain Processing-'!B36</f>
        <v>450</v>
      </c>
    </row>
    <row r="19" spans="1:10">
      <c r="A19" s="286" t="s">
        <v>486</v>
      </c>
      <c r="B19" s="281"/>
      <c r="C19" s="242">
        <v>0</v>
      </c>
      <c r="D19" s="530"/>
      <c r="E19" s="243"/>
      <c r="F19" s="10"/>
      <c r="G19" s="257"/>
      <c r="H19" s="10"/>
    </row>
    <row r="20" spans="1:10">
      <c r="A20" s="736" t="s">
        <v>391</v>
      </c>
      <c r="B20" s="736"/>
      <c r="C20" s="736"/>
      <c r="D20" s="736"/>
      <c r="E20" s="736"/>
      <c r="F20" s="736"/>
      <c r="G20" s="736"/>
      <c r="H20" s="736"/>
    </row>
    <row r="22" spans="1:10" ht="18.75">
      <c r="A22" s="740" t="s">
        <v>546</v>
      </c>
      <c r="B22" s="741"/>
      <c r="C22" s="741"/>
      <c r="D22" s="741"/>
      <c r="E22" s="741"/>
      <c r="F22" s="741"/>
      <c r="G22" s="741"/>
      <c r="H22" s="742"/>
    </row>
    <row r="23" spans="1:10">
      <c r="A23" s="743" t="s">
        <v>0</v>
      </c>
      <c r="B23" s="272">
        <v>0.6</v>
      </c>
      <c r="C23" s="272">
        <f>+B23+((C25-B25)/B25)</f>
        <v>0.70000000000000007</v>
      </c>
      <c r="D23" s="272">
        <f t="shared" ref="D23:H23" si="3">+C23+((D25-C25)/C25)</f>
        <v>0.79090909090909112</v>
      </c>
      <c r="E23" s="272">
        <f t="shared" si="3"/>
        <v>0.87424242424242449</v>
      </c>
      <c r="F23" s="272">
        <f t="shared" si="3"/>
        <v>0.95116550116550136</v>
      </c>
      <c r="G23" s="272">
        <f t="shared" si="3"/>
        <v>1.022594072594073</v>
      </c>
      <c r="H23" s="272">
        <f t="shared" si="3"/>
        <v>1.0892607392607396</v>
      </c>
    </row>
    <row r="24" spans="1:10">
      <c r="A24" s="744"/>
      <c r="B24" s="263" t="s">
        <v>2</v>
      </c>
      <c r="C24" s="263" t="s">
        <v>3</v>
      </c>
      <c r="D24" s="263" t="s">
        <v>4</v>
      </c>
      <c r="E24" s="263" t="s">
        <v>5</v>
      </c>
      <c r="F24" s="263" t="s">
        <v>6</v>
      </c>
      <c r="G24" s="263" t="s">
        <v>164</v>
      </c>
      <c r="H24" s="263" t="s">
        <v>163</v>
      </c>
    </row>
    <row r="25" spans="1:10">
      <c r="A25" s="10" t="str">
        <f>B14</f>
        <v>Paddy</v>
      </c>
      <c r="B25" s="10">
        <f>+'13.Facility 2 Grain Processing-'!B22</f>
        <v>3600</v>
      </c>
      <c r="C25" s="10">
        <f>+'13.Facility 2 Grain Processing-'!C22</f>
        <v>3960.0000000000005</v>
      </c>
      <c r="D25" s="10">
        <f>+'13.Facility 2 Grain Processing-'!D22</f>
        <v>4320.0000000000009</v>
      </c>
      <c r="E25" s="10">
        <f>+'13.Facility 2 Grain Processing-'!E22</f>
        <v>4680.0000000000009</v>
      </c>
      <c r="F25" s="10">
        <f>+'13.Facility 2 Grain Processing-'!F22</f>
        <v>5040.0000000000009</v>
      </c>
      <c r="G25" s="10">
        <f>+'13.Facility 2 Grain Processing-'!G22</f>
        <v>5400.0000000000018</v>
      </c>
      <c r="H25" s="10">
        <f>+'13.Facility 2 Grain Processing-'!H22</f>
        <v>5760.0000000000018</v>
      </c>
    </row>
    <row r="26" spans="1:10">
      <c r="A26" s="10" t="str">
        <f>B15</f>
        <v>-</v>
      </c>
      <c r="B26" s="10">
        <v>0</v>
      </c>
      <c r="C26" s="10">
        <f t="shared" ref="C26:H26" si="4">(B26/B$23)*C$23</f>
        <v>0</v>
      </c>
      <c r="D26" s="10">
        <f t="shared" si="4"/>
        <v>0</v>
      </c>
      <c r="E26" s="10">
        <f t="shared" si="4"/>
        <v>0</v>
      </c>
      <c r="F26" s="10">
        <f t="shared" si="4"/>
        <v>0</v>
      </c>
      <c r="G26" s="10">
        <f t="shared" si="4"/>
        <v>0</v>
      </c>
      <c r="H26" s="10">
        <f t="shared" si="4"/>
        <v>0</v>
      </c>
    </row>
    <row r="27" spans="1:10">
      <c r="A27" s="10" t="str">
        <f>B16</f>
        <v>-</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c r="A28" s="10" t="str">
        <f>B17</f>
        <v>-</v>
      </c>
      <c r="B28" s="10">
        <v>0</v>
      </c>
      <c r="C28" s="10">
        <f t="shared" si="6"/>
        <v>0</v>
      </c>
      <c r="D28" s="10">
        <f t="shared" si="7"/>
        <v>0</v>
      </c>
      <c r="E28" s="10">
        <f t="shared" si="8"/>
        <v>0</v>
      </c>
      <c r="F28" s="10">
        <f t="shared" si="9"/>
        <v>0</v>
      </c>
      <c r="G28" s="10">
        <f t="shared" si="10"/>
        <v>0</v>
      </c>
      <c r="H28" s="10">
        <f t="shared" si="11"/>
        <v>0</v>
      </c>
    </row>
    <row r="29" spans="1:10">
      <c r="A29" s="10" t="str">
        <f>B18</f>
        <v>-</v>
      </c>
      <c r="B29" s="10">
        <f>+B27</f>
        <v>0</v>
      </c>
      <c r="C29" s="10">
        <f t="shared" si="6"/>
        <v>0</v>
      </c>
      <c r="D29" s="10">
        <f t="shared" si="7"/>
        <v>0</v>
      </c>
      <c r="E29" s="10">
        <f t="shared" si="8"/>
        <v>0</v>
      </c>
      <c r="F29" s="10">
        <f t="shared" si="9"/>
        <v>0</v>
      </c>
      <c r="G29" s="10">
        <f t="shared" si="10"/>
        <v>0</v>
      </c>
      <c r="H29" s="10">
        <f t="shared" si="11"/>
        <v>0</v>
      </c>
    </row>
    <row r="30" spans="1:10">
      <c r="A30" s="327"/>
      <c r="B30" s="328"/>
      <c r="C30" s="328"/>
      <c r="D30" s="328"/>
      <c r="E30" s="328"/>
      <c r="F30" s="328"/>
      <c r="G30" s="328"/>
      <c r="H30" s="329"/>
    </row>
    <row r="31" spans="1:10" ht="18.75">
      <c r="A31" s="745" t="s">
        <v>547</v>
      </c>
      <c r="B31" s="746"/>
      <c r="C31" s="746"/>
      <c r="D31" s="746"/>
      <c r="E31" s="746"/>
      <c r="F31" s="746"/>
      <c r="G31" s="746"/>
      <c r="H31" s="747"/>
    </row>
    <row r="32" spans="1:10">
      <c r="A32" s="748" t="s">
        <v>0</v>
      </c>
      <c r="B32" s="272">
        <v>0.4</v>
      </c>
      <c r="C32" s="272">
        <f>+B32+((C34-B34)/B34)</f>
        <v>0.5</v>
      </c>
      <c r="D32" s="272">
        <f t="shared" ref="D32:H32" si="12">+C32+((D34-C34)/C34)</f>
        <v>0.59090909090909094</v>
      </c>
      <c r="E32" s="272">
        <f t="shared" si="12"/>
        <v>0.67424242424242431</v>
      </c>
      <c r="F32" s="272">
        <f t="shared" si="12"/>
        <v>0.75116550116550118</v>
      </c>
      <c r="G32" s="272">
        <f t="shared" si="12"/>
        <v>0.82259407259407258</v>
      </c>
      <c r="H32" s="272">
        <f t="shared" si="12"/>
        <v>0.88926073926073923</v>
      </c>
    </row>
    <row r="33" spans="1:9">
      <c r="A33" s="749"/>
      <c r="B33" s="263" t="s">
        <v>2</v>
      </c>
      <c r="C33" s="263" t="s">
        <v>3</v>
      </c>
      <c r="D33" s="263" t="s">
        <v>4</v>
      </c>
      <c r="E33" s="263" t="s">
        <v>5</v>
      </c>
      <c r="F33" s="263" t="s">
        <v>6</v>
      </c>
      <c r="G33" s="263" t="s">
        <v>164</v>
      </c>
      <c r="H33" s="263" t="s">
        <v>163</v>
      </c>
    </row>
    <row r="34" spans="1:9" s="13" customFormat="1">
      <c r="A34" s="10" t="str">
        <f>+B14</f>
        <v>Paddy</v>
      </c>
      <c r="B34" s="10">
        <f>+'13.Facility 2 Grain Processing-'!B32</f>
        <v>2400</v>
      </c>
      <c r="C34" s="10">
        <f>+'13.Facility 2 Grain Processing-'!C32</f>
        <v>2640</v>
      </c>
      <c r="D34" s="10">
        <f>+'13.Facility 2 Grain Processing-'!D32</f>
        <v>2880</v>
      </c>
      <c r="E34" s="10">
        <f>+'13.Facility 2 Grain Processing-'!E32</f>
        <v>3120</v>
      </c>
      <c r="F34" s="10">
        <f>+'13.Facility 2 Grain Processing-'!F32</f>
        <v>3360</v>
      </c>
      <c r="G34" s="10">
        <f>+'13.Facility 2 Grain Processing-'!G32</f>
        <v>3600</v>
      </c>
      <c r="H34" s="10">
        <f>+'13.Facility 2 Grain Processing-'!H32</f>
        <v>3840</v>
      </c>
    </row>
    <row r="35" spans="1:9">
      <c r="A35" s="10" t="str">
        <f>A26</f>
        <v>-</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c r="A36" s="10" t="str">
        <f t="shared" ref="A36:A39" si="14">A27</f>
        <v>-</v>
      </c>
      <c r="B36" s="10">
        <f>+'13.Facility 2 Grain Processing-'!B35</f>
        <v>0</v>
      </c>
      <c r="C36" s="10">
        <f t="shared" ref="C36:H36" si="15">+B36*(1+C$32-B$32)</f>
        <v>0</v>
      </c>
      <c r="D36" s="10">
        <f t="shared" si="15"/>
        <v>0</v>
      </c>
      <c r="E36" s="10">
        <f t="shared" si="15"/>
        <v>0</v>
      </c>
      <c r="F36" s="10">
        <f t="shared" si="15"/>
        <v>0</v>
      </c>
      <c r="G36" s="10">
        <f t="shared" si="15"/>
        <v>0</v>
      </c>
      <c r="H36" s="10">
        <f t="shared" si="15"/>
        <v>0</v>
      </c>
    </row>
    <row r="37" spans="1:9">
      <c r="A37" s="10" t="str">
        <f t="shared" si="14"/>
        <v>-</v>
      </c>
      <c r="B37" s="10">
        <v>0</v>
      </c>
      <c r="C37" s="10">
        <f t="shared" ref="C37:H37" si="16">+B37*(1+C$32-B$32)</f>
        <v>0</v>
      </c>
      <c r="D37" s="10">
        <f t="shared" si="16"/>
        <v>0</v>
      </c>
      <c r="E37" s="10">
        <f t="shared" si="16"/>
        <v>0</v>
      </c>
      <c r="F37" s="10">
        <f t="shared" si="16"/>
        <v>0</v>
      </c>
      <c r="G37" s="10">
        <f t="shared" si="16"/>
        <v>0</v>
      </c>
      <c r="H37" s="10">
        <f t="shared" si="16"/>
        <v>0</v>
      </c>
    </row>
    <row r="38" spans="1:9">
      <c r="A38" s="10" t="str">
        <f t="shared" si="14"/>
        <v>-</v>
      </c>
      <c r="C38" s="10">
        <v>0</v>
      </c>
      <c r="D38" s="10">
        <v>0</v>
      </c>
      <c r="E38" s="10">
        <v>0</v>
      </c>
      <c r="F38" s="10">
        <v>0</v>
      </c>
      <c r="G38" s="10">
        <v>0</v>
      </c>
      <c r="H38" s="10">
        <v>0</v>
      </c>
    </row>
    <row r="39" spans="1:9">
      <c r="A39" s="10">
        <f t="shared" si="14"/>
        <v>0</v>
      </c>
      <c r="B39" s="10">
        <f t="shared" ref="B39:H39" si="17">SUM(B34:B38)</f>
        <v>2400</v>
      </c>
      <c r="C39" s="10">
        <f>SUM(C34:C38)</f>
        <v>2640</v>
      </c>
      <c r="D39" s="10">
        <f>SUM(D34:D38)</f>
        <v>2880</v>
      </c>
      <c r="E39" s="10">
        <f t="shared" si="17"/>
        <v>3120</v>
      </c>
      <c r="F39" s="10">
        <f t="shared" si="17"/>
        <v>3360</v>
      </c>
      <c r="G39" s="10">
        <f t="shared" si="17"/>
        <v>3600</v>
      </c>
      <c r="H39" s="10">
        <f t="shared" si="17"/>
        <v>3840</v>
      </c>
    </row>
    <row r="40" spans="1:9">
      <c r="A40" s="327"/>
      <c r="B40" s="328"/>
      <c r="C40" s="328"/>
      <c r="D40" s="328"/>
      <c r="E40" s="328"/>
      <c r="F40" s="328"/>
      <c r="G40" s="328"/>
      <c r="H40" s="329"/>
    </row>
    <row r="41" spans="1:9" ht="18.75">
      <c r="A41" s="745" t="s">
        <v>548</v>
      </c>
      <c r="B41" s="746"/>
      <c r="C41" s="746"/>
      <c r="D41" s="746"/>
      <c r="E41" s="746"/>
      <c r="F41" s="746"/>
      <c r="G41" s="746"/>
      <c r="H41" s="747"/>
    </row>
    <row r="42" spans="1:9">
      <c r="A42" s="734" t="s">
        <v>0</v>
      </c>
      <c r="B42" s="294">
        <v>1</v>
      </c>
      <c r="C42" s="294">
        <v>1</v>
      </c>
      <c r="D42" s="294">
        <v>1</v>
      </c>
      <c r="E42" s="294">
        <v>1</v>
      </c>
      <c r="F42" s="294">
        <v>1</v>
      </c>
      <c r="G42" s="294">
        <v>1</v>
      </c>
      <c r="H42" s="294">
        <v>1</v>
      </c>
    </row>
    <row r="43" spans="1:9">
      <c r="A43" s="735"/>
      <c r="B43" s="263" t="s">
        <v>2</v>
      </c>
      <c r="C43" s="263" t="s">
        <v>3</v>
      </c>
      <c r="D43" s="263" t="s">
        <v>4</v>
      </c>
      <c r="E43" s="263" t="s">
        <v>5</v>
      </c>
      <c r="F43" s="263" t="s">
        <v>6</v>
      </c>
      <c r="G43" s="263" t="s">
        <v>164</v>
      </c>
      <c r="H43" s="263" t="s">
        <v>163</v>
      </c>
    </row>
    <row r="44" spans="1:9" s="13" customFormat="1">
      <c r="A44" s="10"/>
      <c r="B44" s="10"/>
      <c r="C44" s="260"/>
      <c r="D44" s="260"/>
      <c r="E44" s="260"/>
      <c r="F44" s="260"/>
      <c r="G44" s="260"/>
      <c r="H44" s="260"/>
    </row>
    <row r="45" spans="1:9">
      <c r="A45" s="10" t="str">
        <f>A35</f>
        <v>-</v>
      </c>
      <c r="B45" s="10">
        <v>0</v>
      </c>
      <c r="C45" s="260">
        <v>0</v>
      </c>
      <c r="D45" s="260">
        <f t="shared" ref="D45:H45" si="18">(C45/C$42)*D$42</f>
        <v>0</v>
      </c>
      <c r="E45" s="260">
        <f t="shared" si="18"/>
        <v>0</v>
      </c>
      <c r="F45" s="260">
        <f t="shared" si="18"/>
        <v>0</v>
      </c>
      <c r="G45" s="260">
        <f t="shared" si="18"/>
        <v>0</v>
      </c>
      <c r="H45" s="260">
        <f t="shared" si="18"/>
        <v>0</v>
      </c>
    </row>
    <row r="47" spans="1:9">
      <c r="C47" s="4"/>
      <c r="D47" s="6"/>
      <c r="E47" s="6"/>
      <c r="F47" s="6"/>
      <c r="G47" s="6"/>
      <c r="H47" s="6"/>
      <c r="I47" s="6"/>
    </row>
    <row r="48" spans="1:9">
      <c r="A48" t="s">
        <v>512</v>
      </c>
      <c r="C48" s="270"/>
      <c r="D48" s="270"/>
      <c r="E48" s="270"/>
      <c r="F48" s="270"/>
      <c r="G48" s="270"/>
      <c r="H48" s="270"/>
      <c r="I48" s="270"/>
    </row>
    <row r="49" spans="1:2">
      <c r="A49">
        <v>1</v>
      </c>
      <c r="B49" t="s">
        <v>513</v>
      </c>
    </row>
    <row r="50" spans="1:2">
      <c r="A50">
        <v>2</v>
      </c>
      <c r="B50" t="s">
        <v>514</v>
      </c>
    </row>
    <row r="51" spans="1:2">
      <c r="A51">
        <v>3</v>
      </c>
      <c r="B51" t="s">
        <v>515</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703" t="s">
        <v>549</v>
      </c>
      <c r="B2" s="703"/>
      <c r="C2" s="703"/>
      <c r="D2" s="703"/>
      <c r="E2" s="703"/>
      <c r="F2" s="703"/>
      <c r="G2" s="703"/>
      <c r="H2" s="703"/>
    </row>
    <row r="3" spans="1:8" ht="18.75">
      <c r="A3" s="703" t="s">
        <v>550</v>
      </c>
      <c r="B3" s="703"/>
      <c r="C3" s="703"/>
      <c r="D3" s="703"/>
      <c r="E3" s="703"/>
      <c r="F3" s="703"/>
      <c r="G3" s="703"/>
      <c r="H3" s="703"/>
    </row>
    <row r="4" spans="1:8">
      <c r="B4" s="79"/>
      <c r="C4" s="79"/>
      <c r="D4" s="79"/>
      <c r="E4" s="79"/>
      <c r="F4" s="704" t="s">
        <v>466</v>
      </c>
      <c r="G4" s="704"/>
      <c r="H4" s="704"/>
    </row>
    <row r="5" spans="1:8">
      <c r="A5" s="79" t="s">
        <v>156</v>
      </c>
      <c r="B5" s="208">
        <f>(2*1000)/100</f>
        <v>20</v>
      </c>
      <c r="C5" s="79" t="s">
        <v>443</v>
      </c>
      <c r="D5" s="79"/>
      <c r="E5" s="79"/>
      <c r="F5" s="245" t="s">
        <v>467</v>
      </c>
      <c r="G5" s="245" t="s">
        <v>468</v>
      </c>
      <c r="H5" s="79"/>
    </row>
    <row r="6" spans="1:8">
      <c r="A6" s="79" t="s">
        <v>157</v>
      </c>
      <c r="B6" s="236">
        <v>8</v>
      </c>
      <c r="C6" s="79"/>
      <c r="D6" s="79"/>
      <c r="E6" s="79"/>
      <c r="F6" s="10" t="s">
        <v>464</v>
      </c>
      <c r="G6" s="278">
        <v>0.03</v>
      </c>
      <c r="H6" s="79"/>
    </row>
    <row r="7" spans="1:8">
      <c r="A7" s="79"/>
      <c r="B7" s="79"/>
      <c r="C7" s="79"/>
      <c r="D7" s="79"/>
      <c r="E7" s="79"/>
      <c r="F7" s="10" t="s">
        <v>465</v>
      </c>
      <c r="G7" s="278">
        <v>0.05</v>
      </c>
      <c r="H7" s="79"/>
    </row>
    <row r="8" spans="1:8">
      <c r="A8" s="79" t="s">
        <v>500</v>
      </c>
      <c r="B8" s="79">
        <v>300</v>
      </c>
      <c r="C8" s="79"/>
      <c r="D8" s="79"/>
      <c r="E8" s="79"/>
      <c r="F8" s="10"/>
      <c r="G8" s="278"/>
      <c r="H8" s="79"/>
    </row>
    <row r="9" spans="1:8">
      <c r="A9" s="122" t="s">
        <v>0</v>
      </c>
      <c r="B9" s="102" t="s">
        <v>2</v>
      </c>
      <c r="C9" s="102" t="s">
        <v>3</v>
      </c>
      <c r="D9" s="102" t="s">
        <v>4</v>
      </c>
      <c r="E9" s="102" t="s">
        <v>5</v>
      </c>
      <c r="F9" s="102" t="s">
        <v>6</v>
      </c>
      <c r="G9" s="102" t="s">
        <v>164</v>
      </c>
      <c r="H9" s="102" t="s">
        <v>163</v>
      </c>
    </row>
    <row r="10" spans="1:8">
      <c r="A10" s="80" t="s">
        <v>442</v>
      </c>
      <c r="B10" s="254">
        <f>B33/($B$5*$B$6)</f>
        <v>0</v>
      </c>
      <c r="C10" s="254">
        <f t="shared" ref="C10:H10" si="0">C33/($B$5*$B$6)</f>
        <v>0</v>
      </c>
      <c r="D10" s="254">
        <f t="shared" si="0"/>
        <v>0</v>
      </c>
      <c r="E10" s="254">
        <f t="shared" si="0"/>
        <v>0</v>
      </c>
      <c r="F10" s="254">
        <f t="shared" si="0"/>
        <v>0</v>
      </c>
      <c r="G10" s="254">
        <f t="shared" si="0"/>
        <v>0</v>
      </c>
      <c r="H10" s="254">
        <f t="shared" si="0"/>
        <v>0</v>
      </c>
    </row>
    <row r="11" spans="1:8">
      <c r="A11" s="163" t="str">
        <f>'10.Grain Production details'!A42</f>
        <v>Soybean</v>
      </c>
      <c r="B11" s="163">
        <f>'10.Grain Production details'!B42</f>
        <v>0</v>
      </c>
      <c r="C11" s="163">
        <f>'10.Grain Production details'!C42</f>
        <v>0</v>
      </c>
      <c r="D11" s="163">
        <f>'10.Grain Production details'!D42</f>
        <v>0</v>
      </c>
      <c r="E11" s="163">
        <f>'10.Grain Production details'!E42</f>
        <v>0</v>
      </c>
      <c r="F11" s="163">
        <f>'10.Grain Production details'!F42</f>
        <v>0</v>
      </c>
      <c r="G11" s="163">
        <f>'10.Grain Production details'!G42</f>
        <v>0</v>
      </c>
      <c r="H11" s="163">
        <f>'10.Grain Production details'!H42</f>
        <v>0</v>
      </c>
    </row>
    <row r="12" spans="1:8">
      <c r="A12" s="163" t="str">
        <f>'10.Grain Production details'!A43</f>
        <v>Red Gram/Tur</v>
      </c>
      <c r="B12" s="163">
        <f>'10.Grain Production details'!B43</f>
        <v>0</v>
      </c>
      <c r="C12" s="163">
        <f>'10.Grain Production details'!C43</f>
        <v>0</v>
      </c>
      <c r="D12" s="163">
        <f>'10.Grain Production details'!D43</f>
        <v>0</v>
      </c>
      <c r="E12" s="163">
        <f>'10.Grain Production details'!E43</f>
        <v>0</v>
      </c>
      <c r="F12" s="163">
        <f>'10.Grain Production details'!F43</f>
        <v>0</v>
      </c>
      <c r="G12" s="163">
        <f>'10.Grain Production details'!G43</f>
        <v>0</v>
      </c>
      <c r="H12" s="163">
        <f>'10.Grain Production details'!H43</f>
        <v>0</v>
      </c>
    </row>
    <row r="13" spans="1:8">
      <c r="A13" s="163" t="str">
        <f>'10.Grain Production details'!A44</f>
        <v>Paddy/Rice</v>
      </c>
      <c r="B13" s="163">
        <f>'10.Grain Production details'!B44</f>
        <v>0</v>
      </c>
      <c r="C13" s="163">
        <f>'10.Grain Production details'!C44</f>
        <v>0</v>
      </c>
      <c r="D13" s="163">
        <f>'10.Grain Production details'!D44</f>
        <v>0</v>
      </c>
      <c r="E13" s="163">
        <f>'10.Grain Production details'!E44</f>
        <v>0</v>
      </c>
      <c r="F13" s="163">
        <f>'10.Grain Production details'!F44</f>
        <v>0</v>
      </c>
      <c r="G13" s="163">
        <f>'10.Grain Production details'!G44</f>
        <v>0</v>
      </c>
      <c r="H13" s="163">
        <f>'10.Grain Production details'!H44</f>
        <v>0</v>
      </c>
    </row>
    <row r="14" spans="1:8">
      <c r="A14" s="163" t="str">
        <f>'10.Grain Production details'!A45</f>
        <v>Green Gram/ Moong</v>
      </c>
      <c r="B14" s="163">
        <f>'10.Grain Production details'!B45</f>
        <v>0</v>
      </c>
      <c r="C14" s="163">
        <f>'10.Grain Production details'!C45</f>
        <v>0</v>
      </c>
      <c r="D14" s="163">
        <f>'10.Grain Production details'!D45</f>
        <v>0</v>
      </c>
      <c r="E14" s="163">
        <f>'10.Grain Production details'!E45</f>
        <v>0</v>
      </c>
      <c r="F14" s="163">
        <f>'10.Grain Production details'!F45</f>
        <v>0</v>
      </c>
      <c r="G14" s="163">
        <f>'10.Grain Production details'!G45</f>
        <v>0</v>
      </c>
      <c r="H14" s="163">
        <f>'10.Grain Production details'!H45</f>
        <v>0</v>
      </c>
    </row>
    <row r="15" spans="1:8">
      <c r="A15" s="163" t="str">
        <f>'10.Grain Production details'!A46</f>
        <v>Maize</v>
      </c>
      <c r="B15" s="163">
        <f>'10.Grain Production details'!B46</f>
        <v>0</v>
      </c>
      <c r="C15" s="163">
        <f>'10.Grain Production details'!C46</f>
        <v>0</v>
      </c>
      <c r="D15" s="163">
        <f>'10.Grain Production details'!D46</f>
        <v>0</v>
      </c>
      <c r="E15" s="163">
        <f>'10.Grain Production details'!E46</f>
        <v>0</v>
      </c>
      <c r="F15" s="163">
        <f>'10.Grain Production details'!F46</f>
        <v>0</v>
      </c>
      <c r="G15" s="163">
        <f>'10.Grain Production details'!G46</f>
        <v>0</v>
      </c>
      <c r="H15" s="163">
        <f>'10.Grain Production details'!H46</f>
        <v>0</v>
      </c>
    </row>
    <row r="16" spans="1:8">
      <c r="A16" s="163" t="str">
        <f>'10.Grain Production details'!A47</f>
        <v>Black Gram/Udid</v>
      </c>
      <c r="B16" s="163">
        <f>'10.Grain Production details'!B47</f>
        <v>0</v>
      </c>
      <c r="C16" s="163">
        <f>'10.Grain Production details'!C47</f>
        <v>0</v>
      </c>
      <c r="D16" s="163">
        <f>'10.Grain Production details'!D47</f>
        <v>0</v>
      </c>
      <c r="E16" s="163">
        <f>'10.Grain Production details'!E47</f>
        <v>0</v>
      </c>
      <c r="F16" s="163">
        <f>'10.Grain Production details'!F47</f>
        <v>0</v>
      </c>
      <c r="G16" s="163">
        <f>'10.Grain Production details'!G47</f>
        <v>0</v>
      </c>
      <c r="H16" s="163">
        <f>'10.Grain Production details'!H47</f>
        <v>0</v>
      </c>
    </row>
    <row r="17" spans="1:8">
      <c r="A17" s="163" t="str">
        <f>'10.Grain Production details'!A48</f>
        <v>Bajra</v>
      </c>
      <c r="B17" s="163">
        <f>'10.Grain Production details'!B48</f>
        <v>0</v>
      </c>
      <c r="C17" s="163">
        <f>'10.Grain Production details'!C48</f>
        <v>0</v>
      </c>
      <c r="D17" s="163">
        <f>'10.Grain Production details'!D48</f>
        <v>0</v>
      </c>
      <c r="E17" s="163">
        <f>'10.Grain Production details'!E48</f>
        <v>0</v>
      </c>
      <c r="F17" s="163">
        <f>'10.Grain Production details'!F48</f>
        <v>0</v>
      </c>
      <c r="G17" s="163">
        <f>'10.Grain Production details'!G48</f>
        <v>0</v>
      </c>
      <c r="H17" s="163">
        <f>'10.Grain Production details'!H48</f>
        <v>0</v>
      </c>
    </row>
    <row r="18" spans="1:8">
      <c r="A18" s="163" t="str">
        <f>'10.Grain Production details'!A49</f>
        <v>Jawar</v>
      </c>
      <c r="B18" s="163">
        <f>'10.Grain Production details'!B49</f>
        <v>0</v>
      </c>
      <c r="C18" s="163">
        <f>'10.Grain Production details'!C49</f>
        <v>0</v>
      </c>
      <c r="D18" s="163">
        <f>'10.Grain Production details'!D49</f>
        <v>0</v>
      </c>
      <c r="E18" s="163">
        <f>'10.Grain Production details'!E49</f>
        <v>0</v>
      </c>
      <c r="F18" s="163">
        <f>'10.Grain Production details'!F49</f>
        <v>0</v>
      </c>
      <c r="G18" s="163">
        <f>'10.Grain Production details'!G49</f>
        <v>0</v>
      </c>
      <c r="H18" s="163">
        <f>'10.Grain Production details'!H49</f>
        <v>0</v>
      </c>
    </row>
    <row r="19" spans="1:8">
      <c r="A19" s="163" t="str">
        <f>'10.Grain Production details'!A50</f>
        <v>Sunflower</v>
      </c>
      <c r="B19" s="163">
        <f>'10.Grain Production details'!B50</f>
        <v>0</v>
      </c>
      <c r="C19" s="163">
        <f>'10.Grain Production details'!C50</f>
        <v>0</v>
      </c>
      <c r="D19" s="163">
        <f>'10.Grain Production details'!D50</f>
        <v>0</v>
      </c>
      <c r="E19" s="163">
        <f>'10.Grain Production details'!E50</f>
        <v>0</v>
      </c>
      <c r="F19" s="163">
        <f>'10.Grain Production details'!F50</f>
        <v>0</v>
      </c>
      <c r="G19" s="163">
        <f>'10.Grain Production details'!G50</f>
        <v>0</v>
      </c>
      <c r="H19" s="163">
        <f>'10.Grain Production details'!H50</f>
        <v>0</v>
      </c>
    </row>
    <row r="20" spans="1:8">
      <c r="A20" s="163" t="str">
        <f>'10.Grain Production details'!A51</f>
        <v>Wheat</v>
      </c>
      <c r="B20" s="163">
        <f>'10.Grain Production details'!B51</f>
        <v>0</v>
      </c>
      <c r="C20" s="163">
        <f>'10.Grain Production details'!C51</f>
        <v>0</v>
      </c>
      <c r="D20" s="163">
        <f>'10.Grain Production details'!D51</f>
        <v>0</v>
      </c>
      <c r="E20" s="163">
        <f>'10.Grain Production details'!E51</f>
        <v>0</v>
      </c>
      <c r="F20" s="163">
        <f>'10.Grain Production details'!F51</f>
        <v>0</v>
      </c>
      <c r="G20" s="163">
        <f>'10.Grain Production details'!G51</f>
        <v>0</v>
      </c>
      <c r="H20" s="163">
        <f>'10.Grain Production details'!H51</f>
        <v>0</v>
      </c>
    </row>
    <row r="21" spans="1:8">
      <c r="A21" s="163" t="str">
        <f>'10.Grain Production details'!A52</f>
        <v>Bengal Gram/Channa</v>
      </c>
      <c r="B21" s="163">
        <f>'10.Grain Production details'!B52</f>
        <v>0</v>
      </c>
      <c r="C21" s="163">
        <f>'10.Grain Production details'!C52</f>
        <v>0</v>
      </c>
      <c r="D21" s="163">
        <f>'10.Grain Production details'!D52</f>
        <v>0</v>
      </c>
      <c r="E21" s="163">
        <f>'10.Grain Production details'!E52</f>
        <v>0</v>
      </c>
      <c r="F21" s="163">
        <f>'10.Grain Production details'!F52</f>
        <v>0</v>
      </c>
      <c r="G21" s="163">
        <f>'10.Grain Production details'!G52</f>
        <v>0</v>
      </c>
      <c r="H21" s="163">
        <f>'10.Grain Production details'!H52</f>
        <v>0</v>
      </c>
    </row>
    <row r="22" spans="1:8">
      <c r="A22" s="163" t="str">
        <f>'10.Grain Production details'!A53</f>
        <v>Jawar</v>
      </c>
      <c r="B22" s="163">
        <f>'10.Grain Production details'!B53</f>
        <v>0</v>
      </c>
      <c r="C22" s="163">
        <f>'10.Grain Production details'!C53</f>
        <v>0</v>
      </c>
      <c r="D22" s="163">
        <f>'10.Grain Production details'!D53</f>
        <v>0</v>
      </c>
      <c r="E22" s="163">
        <f>'10.Grain Production details'!E53</f>
        <v>0</v>
      </c>
      <c r="F22" s="163">
        <f>'10.Grain Production details'!F53</f>
        <v>0</v>
      </c>
      <c r="G22" s="163">
        <f>'10.Grain Production details'!G53</f>
        <v>0</v>
      </c>
      <c r="H22" s="163">
        <f>'10.Grain Production details'!H53</f>
        <v>0</v>
      </c>
    </row>
    <row r="23" spans="1:8">
      <c r="A23" s="163" t="str">
        <f>'10.Grain Production details'!A54</f>
        <v>Maize</v>
      </c>
      <c r="B23" s="163">
        <f>'10.Grain Production details'!B54</f>
        <v>0</v>
      </c>
      <c r="C23" s="163">
        <f>'10.Grain Production details'!C54</f>
        <v>0</v>
      </c>
      <c r="D23" s="163">
        <f>'10.Grain Production details'!D54</f>
        <v>0</v>
      </c>
      <c r="E23" s="163">
        <f>'10.Grain Production details'!E54</f>
        <v>0</v>
      </c>
      <c r="F23" s="163">
        <f>'10.Grain Production details'!F54</f>
        <v>0</v>
      </c>
      <c r="G23" s="163">
        <f>'10.Grain Production details'!G54</f>
        <v>0</v>
      </c>
      <c r="H23" s="163">
        <f>'10.Grain Production details'!H54</f>
        <v>0</v>
      </c>
    </row>
    <row r="24" spans="1:8">
      <c r="A24" s="163" t="str">
        <f>'10.Grain Production details'!A55</f>
        <v>Safflower</v>
      </c>
      <c r="B24" s="163">
        <f>'10.Grain Production details'!B55</f>
        <v>0</v>
      </c>
      <c r="C24" s="163">
        <f>'10.Grain Production details'!C55</f>
        <v>0</v>
      </c>
      <c r="D24" s="163">
        <f>'10.Grain Production details'!D55</f>
        <v>0</v>
      </c>
      <c r="E24" s="163">
        <f>'10.Grain Production details'!E55</f>
        <v>0</v>
      </c>
      <c r="F24" s="163">
        <f>'10.Grain Production details'!F55</f>
        <v>0</v>
      </c>
      <c r="G24" s="163">
        <f>'10.Grain Production details'!G55</f>
        <v>0</v>
      </c>
      <c r="H24" s="163">
        <f>'10.Grain Production details'!H55</f>
        <v>0</v>
      </c>
    </row>
    <row r="25" spans="1:8">
      <c r="A25" s="163">
        <f>'10.Grain Production details'!A56</f>
        <v>0</v>
      </c>
      <c r="B25" s="163">
        <f>'10.Grain Production details'!B56</f>
        <v>0</v>
      </c>
      <c r="C25" s="163">
        <f>'10.Grain Production details'!C56</f>
        <v>0</v>
      </c>
      <c r="D25" s="163">
        <f>'10.Grain Production details'!D56</f>
        <v>0</v>
      </c>
      <c r="E25" s="163">
        <f>'10.Grain Production details'!E56</f>
        <v>0</v>
      </c>
      <c r="F25" s="163">
        <f>'10.Grain Production details'!F56</f>
        <v>0</v>
      </c>
      <c r="G25" s="163">
        <f>'10.Grain Production details'!G56</f>
        <v>0</v>
      </c>
      <c r="H25" s="163">
        <f>'10.Grain Production details'!H56</f>
        <v>0</v>
      </c>
    </row>
    <row r="26" spans="1:8">
      <c r="A26" s="163">
        <f>'10.Grain Production details'!A57</f>
        <v>0</v>
      </c>
      <c r="B26" s="163">
        <f>'10.Grain Production details'!B57</f>
        <v>0</v>
      </c>
      <c r="C26" s="163">
        <f>'10.Grain Production details'!C57</f>
        <v>0</v>
      </c>
      <c r="D26" s="163">
        <f>'10.Grain Production details'!D57</f>
        <v>0</v>
      </c>
      <c r="E26" s="163">
        <f>'10.Grain Production details'!E57</f>
        <v>0</v>
      </c>
      <c r="F26" s="163">
        <f>'10.Grain Production details'!F57</f>
        <v>0</v>
      </c>
      <c r="G26" s="163">
        <f>'10.Grain Production details'!G57</f>
        <v>0</v>
      </c>
      <c r="H26" s="163">
        <f>'10.Grain Production details'!H57</f>
        <v>0</v>
      </c>
    </row>
    <row r="27" spans="1:8">
      <c r="A27" s="163">
        <f>'10.Grain Production details'!A58</f>
        <v>0</v>
      </c>
      <c r="B27" s="163">
        <f>'10.Grain Production details'!B58</f>
        <v>0</v>
      </c>
      <c r="C27" s="163">
        <f>'10.Grain Production details'!C58</f>
        <v>0</v>
      </c>
      <c r="D27" s="163">
        <f>'10.Grain Production details'!D58</f>
        <v>0</v>
      </c>
      <c r="E27" s="163">
        <f>'10.Grain Production details'!E58</f>
        <v>0</v>
      </c>
      <c r="F27" s="163">
        <f>'10.Grain Production details'!F58</f>
        <v>0</v>
      </c>
      <c r="G27" s="163">
        <f>'10.Grain Production details'!G58</f>
        <v>0</v>
      </c>
      <c r="H27" s="163">
        <f>'10.Grain Production details'!H58</f>
        <v>0</v>
      </c>
    </row>
    <row r="28" spans="1:8">
      <c r="A28" s="163" t="str">
        <f>'10.Grain Production details'!A59</f>
        <v>Groundnut</v>
      </c>
      <c r="B28" s="163">
        <f>'10.Grain Production details'!B59</f>
        <v>0</v>
      </c>
      <c r="C28" s="163">
        <f>'10.Grain Production details'!C59</f>
        <v>0</v>
      </c>
      <c r="D28" s="163">
        <f>'10.Grain Production details'!D59</f>
        <v>0</v>
      </c>
      <c r="E28" s="163">
        <f>'10.Grain Production details'!E59</f>
        <v>0</v>
      </c>
      <c r="F28" s="163">
        <f>'10.Grain Production details'!F59</f>
        <v>0</v>
      </c>
      <c r="G28" s="163">
        <f>'10.Grain Production details'!G59</f>
        <v>0</v>
      </c>
      <c r="H28" s="163">
        <f>'10.Grain Production details'!H59</f>
        <v>0</v>
      </c>
    </row>
    <row r="29" spans="1:8">
      <c r="A29" s="163">
        <f>'10.Grain Production details'!A60</f>
        <v>0</v>
      </c>
      <c r="B29" s="163">
        <f>'10.Grain Production details'!B60</f>
        <v>0</v>
      </c>
      <c r="C29" s="163">
        <f>'10.Grain Production details'!C60</f>
        <v>0</v>
      </c>
      <c r="D29" s="163">
        <f>'10.Grain Production details'!D60</f>
        <v>0</v>
      </c>
      <c r="E29" s="163">
        <f>'10.Grain Production details'!E60</f>
        <v>0</v>
      </c>
      <c r="F29" s="163">
        <f>'10.Grain Production details'!F60</f>
        <v>0</v>
      </c>
      <c r="G29" s="163">
        <f>'10.Grain Production details'!G60</f>
        <v>0</v>
      </c>
      <c r="H29" s="163">
        <f>'10.Grain Production details'!H60</f>
        <v>0</v>
      </c>
    </row>
    <row r="30" spans="1:8">
      <c r="A30" s="163">
        <f>'10.Grain Production details'!A61</f>
        <v>0</v>
      </c>
      <c r="B30" s="163">
        <f>'10.Grain Production details'!B61</f>
        <v>0</v>
      </c>
      <c r="C30" s="163">
        <f>'10.Grain Production details'!C61</f>
        <v>0</v>
      </c>
      <c r="D30" s="163">
        <f>'10.Grain Production details'!D61</f>
        <v>0</v>
      </c>
      <c r="E30" s="163">
        <f>'10.Grain Production details'!E61</f>
        <v>0</v>
      </c>
      <c r="F30" s="163">
        <f>'10.Grain Production details'!F61</f>
        <v>0</v>
      </c>
      <c r="G30" s="163">
        <f>'10.Grain Production details'!G61</f>
        <v>0</v>
      </c>
      <c r="H30" s="163">
        <f>'10.Grain Production details'!H61</f>
        <v>0</v>
      </c>
    </row>
    <row r="31" spans="1:8">
      <c r="A31" s="163">
        <f>'10.Grain Production details'!A62</f>
        <v>0</v>
      </c>
      <c r="B31" s="163">
        <f>'10.Grain Production details'!B62</f>
        <v>0</v>
      </c>
      <c r="C31" s="163">
        <f>'10.Grain Production details'!C62</f>
        <v>0</v>
      </c>
      <c r="D31" s="163">
        <f>'10.Grain Production details'!D62</f>
        <v>0</v>
      </c>
      <c r="E31" s="163">
        <f>'10.Grain Production details'!E62</f>
        <v>0</v>
      </c>
      <c r="F31" s="163">
        <f>'10.Grain Production details'!F62</f>
        <v>0</v>
      </c>
      <c r="G31" s="163">
        <f>'10.Grain Production details'!G62</f>
        <v>0</v>
      </c>
      <c r="H31" s="163">
        <f>'10.Grain Production details'!H62</f>
        <v>0</v>
      </c>
    </row>
    <row r="32" spans="1:8">
      <c r="A32" s="163">
        <f>'10.Grain Production details'!B63</f>
        <v>0</v>
      </c>
      <c r="B32" s="163">
        <f>'10.Grain Production details'!C63</f>
        <v>0</v>
      </c>
      <c r="C32" s="163">
        <f>'10.Grain Production details'!D63</f>
        <v>0</v>
      </c>
      <c r="D32" s="163">
        <f>'10.Grain Production details'!E63</f>
        <v>0</v>
      </c>
      <c r="E32" s="163">
        <f>'10.Grain Production details'!F63</f>
        <v>0</v>
      </c>
      <c r="F32" s="163">
        <f>'10.Grain Production details'!G63</f>
        <v>0</v>
      </c>
      <c r="G32" s="163">
        <f>'10.Grain Production details'!H63</f>
        <v>0</v>
      </c>
      <c r="H32" s="163">
        <f>'10.Grain Production details'!I63</f>
        <v>0</v>
      </c>
    </row>
    <row r="33" spans="1:8">
      <c r="A33" s="82" t="s">
        <v>497</v>
      </c>
      <c r="B33" s="163">
        <f t="shared" ref="B33:H33" si="1">SUM(B11:B32)</f>
        <v>0</v>
      </c>
      <c r="C33" s="163">
        <f t="shared" si="1"/>
        <v>0</v>
      </c>
      <c r="D33" s="163">
        <f t="shared" si="1"/>
        <v>0</v>
      </c>
      <c r="E33" s="163">
        <f t="shared" si="1"/>
        <v>0</v>
      </c>
      <c r="F33" s="163">
        <f t="shared" si="1"/>
        <v>0</v>
      </c>
      <c r="G33" s="163">
        <f t="shared" si="1"/>
        <v>0</v>
      </c>
      <c r="H33" s="163">
        <f t="shared" si="1"/>
        <v>0</v>
      </c>
    </row>
    <row r="34" spans="1:8">
      <c r="A34" s="163" t="str">
        <f>'11.F&amp;V Crop Production details'!A1:H1</f>
        <v>Grain Crop Production Details</v>
      </c>
      <c r="B34" s="163"/>
      <c r="C34" s="163"/>
      <c r="D34" s="163"/>
      <c r="E34" s="163"/>
      <c r="F34" s="163"/>
      <c r="G34" s="163"/>
      <c r="H34" s="163"/>
    </row>
    <row r="35" spans="1:8">
      <c r="A35" s="163" t="str">
        <f>'11.F&amp;V Crop Production details'!A25</f>
        <v>Paddy</v>
      </c>
      <c r="B35" s="163">
        <f>'11.F&amp;V Crop Production details'!B25</f>
        <v>3600</v>
      </c>
      <c r="C35" s="163">
        <f>'11.F&amp;V Crop Production details'!C25</f>
        <v>3960.0000000000005</v>
      </c>
      <c r="D35" s="163">
        <f>'11.F&amp;V Crop Production details'!D25</f>
        <v>4320.0000000000009</v>
      </c>
      <c r="E35" s="163">
        <f>'11.F&amp;V Crop Production details'!E25</f>
        <v>4680.0000000000009</v>
      </c>
      <c r="F35" s="163">
        <f>'11.F&amp;V Crop Production details'!F25</f>
        <v>5040.0000000000009</v>
      </c>
      <c r="G35" s="163">
        <f>'11.F&amp;V Crop Production details'!G25</f>
        <v>5400.0000000000018</v>
      </c>
      <c r="H35" s="163">
        <f>'11.F&amp;V Crop Production details'!H25</f>
        <v>5760.0000000000018</v>
      </c>
    </row>
    <row r="36" spans="1:8">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c r="A38" s="163" t="str">
        <f>'11.F&amp;V Crop Production details'!A26</f>
        <v>-</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c r="A53" s="163" t="e">
        <f>'11.F&amp;V Crop Production details'!#REF!</f>
        <v>#REF!</v>
      </c>
      <c r="B53" s="163"/>
      <c r="C53" s="163"/>
      <c r="D53" s="163"/>
      <c r="E53" s="163"/>
      <c r="F53" s="163"/>
      <c r="G53" s="163"/>
      <c r="H53" s="163"/>
    </row>
    <row r="54" spans="1:8">
      <c r="A54" s="163" t="e">
        <f>'11.F&amp;V Crop Production details'!#REF!</f>
        <v>#REF!</v>
      </c>
      <c r="B54" s="163"/>
      <c r="C54" s="163"/>
      <c r="D54" s="163"/>
      <c r="E54" s="163"/>
      <c r="F54" s="163"/>
      <c r="G54" s="163"/>
      <c r="H54" s="163"/>
    </row>
    <row r="55" spans="1:8">
      <c r="A55" s="163" t="e">
        <f>'11.F&amp;V Crop Production details'!#REF!</f>
        <v>#REF!</v>
      </c>
      <c r="B55" s="163"/>
      <c r="C55" s="163"/>
      <c r="D55" s="163"/>
      <c r="E55" s="163"/>
      <c r="F55" s="163"/>
      <c r="G55" s="163"/>
      <c r="H55" s="163"/>
    </row>
    <row r="56" spans="1:8">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c r="A60" s="163"/>
      <c r="B60" s="163"/>
      <c r="C60" s="163"/>
      <c r="D60" s="163"/>
      <c r="E60" s="163"/>
      <c r="F60" s="163"/>
      <c r="G60" s="163"/>
      <c r="H60" s="163"/>
    </row>
    <row r="61" spans="1:8">
      <c r="A61" s="82" t="s">
        <v>496</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498</v>
      </c>
      <c r="B62" s="255">
        <v>0.5</v>
      </c>
      <c r="C62" s="255">
        <v>0.5</v>
      </c>
      <c r="D62" s="255">
        <v>0.5</v>
      </c>
      <c r="E62" s="255">
        <v>0.5</v>
      </c>
      <c r="F62" s="255">
        <v>0.5</v>
      </c>
      <c r="G62" s="255">
        <v>0.5</v>
      </c>
      <c r="H62" s="255">
        <v>0.5</v>
      </c>
    </row>
    <row r="63" spans="1:8">
      <c r="A63" s="237" t="s">
        <v>499</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f t="shared" ref="B65:H65" si="4">B33*B62</f>
        <v>0</v>
      </c>
      <c r="C65" s="238">
        <f t="shared" si="4"/>
        <v>0</v>
      </c>
      <c r="D65" s="238">
        <f t="shared" si="4"/>
        <v>0</v>
      </c>
      <c r="E65" s="238">
        <f t="shared" si="4"/>
        <v>0</v>
      </c>
      <c r="F65" s="238">
        <f t="shared" si="4"/>
        <v>0</v>
      </c>
      <c r="G65" s="238">
        <f t="shared" si="4"/>
        <v>0</v>
      </c>
      <c r="H65" s="238">
        <f t="shared" si="4"/>
        <v>0</v>
      </c>
    </row>
    <row r="66" spans="1:8">
      <c r="A66" s="82"/>
      <c r="B66" s="163"/>
      <c r="C66" s="163"/>
      <c r="D66" s="163"/>
      <c r="E66" s="163"/>
      <c r="F66" s="163"/>
      <c r="G66" s="163"/>
      <c r="H66" s="163"/>
    </row>
    <row r="67" spans="1:8">
      <c r="A67" s="82" t="s">
        <v>161</v>
      </c>
      <c r="B67" s="163"/>
      <c r="C67" s="163"/>
      <c r="D67" s="163"/>
      <c r="E67" s="163"/>
      <c r="F67" s="163"/>
      <c r="G67" s="163"/>
      <c r="H67" s="163"/>
    </row>
    <row r="68" spans="1:8">
      <c r="A68" s="80" t="str">
        <f t="shared" ref="A68:A89" si="5">A11</f>
        <v>Soybean</v>
      </c>
      <c r="B68" s="253">
        <f t="shared" ref="B68:B89" si="6">B11*$B$63</f>
        <v>0</v>
      </c>
      <c r="C68" s="253">
        <f t="shared" ref="C68:C83" si="7">C11*$C$63</f>
        <v>0</v>
      </c>
      <c r="D68" s="253">
        <f t="shared" ref="D68:D83" si="8">D11*$D$63</f>
        <v>0</v>
      </c>
      <c r="E68" s="253">
        <f t="shared" ref="E68:E83" si="9">E11*$E$63</f>
        <v>0</v>
      </c>
      <c r="F68" s="253">
        <f t="shared" ref="F68:F83" si="10">F11*$F$63</f>
        <v>0</v>
      </c>
      <c r="G68" s="253">
        <f t="shared" ref="G68:G83" si="11">G11*$G$63</f>
        <v>0</v>
      </c>
      <c r="H68" s="253">
        <f t="shared" ref="H68:H83" si="12">H11*$H$63</f>
        <v>0</v>
      </c>
    </row>
    <row r="69" spans="1:8">
      <c r="A69" s="80" t="str">
        <f t="shared" si="5"/>
        <v>Red Gram/Tur</v>
      </c>
      <c r="B69" s="253">
        <f t="shared" si="6"/>
        <v>0</v>
      </c>
      <c r="C69" s="253">
        <f t="shared" si="7"/>
        <v>0</v>
      </c>
      <c r="D69" s="253">
        <f t="shared" si="8"/>
        <v>0</v>
      </c>
      <c r="E69" s="253">
        <f t="shared" si="9"/>
        <v>0</v>
      </c>
      <c r="F69" s="253">
        <f t="shared" si="10"/>
        <v>0</v>
      </c>
      <c r="G69" s="253">
        <f t="shared" si="11"/>
        <v>0</v>
      </c>
      <c r="H69" s="253">
        <f t="shared" si="12"/>
        <v>0</v>
      </c>
    </row>
    <row r="70" spans="1:8">
      <c r="A70" s="80" t="str">
        <f t="shared" si="5"/>
        <v>Paddy/Rice</v>
      </c>
      <c r="B70" s="253">
        <f t="shared" si="6"/>
        <v>0</v>
      </c>
      <c r="C70" s="253">
        <f t="shared" si="7"/>
        <v>0</v>
      </c>
      <c r="D70" s="253">
        <f t="shared" si="8"/>
        <v>0</v>
      </c>
      <c r="E70" s="253">
        <f t="shared" si="9"/>
        <v>0</v>
      </c>
      <c r="F70" s="253">
        <f t="shared" si="10"/>
        <v>0</v>
      </c>
      <c r="G70" s="253">
        <f t="shared" si="11"/>
        <v>0</v>
      </c>
      <c r="H70" s="253">
        <f t="shared" si="12"/>
        <v>0</v>
      </c>
    </row>
    <row r="71" spans="1:8">
      <c r="A71" s="80" t="str">
        <f t="shared" si="5"/>
        <v>Green Gram/ Moong</v>
      </c>
      <c r="B71" s="253">
        <f t="shared" si="6"/>
        <v>0</v>
      </c>
      <c r="C71" s="253">
        <f t="shared" si="7"/>
        <v>0</v>
      </c>
      <c r="D71" s="253">
        <f t="shared" si="8"/>
        <v>0</v>
      </c>
      <c r="E71" s="253">
        <f t="shared" si="9"/>
        <v>0</v>
      </c>
      <c r="F71" s="253">
        <f t="shared" si="10"/>
        <v>0</v>
      </c>
      <c r="G71" s="253">
        <f t="shared" si="11"/>
        <v>0</v>
      </c>
      <c r="H71" s="253">
        <f t="shared" si="12"/>
        <v>0</v>
      </c>
    </row>
    <row r="72" spans="1:8">
      <c r="A72" s="80" t="str">
        <f t="shared" si="5"/>
        <v>Maize</v>
      </c>
      <c r="B72" s="253">
        <f t="shared" si="6"/>
        <v>0</v>
      </c>
      <c r="C72" s="253">
        <f t="shared" si="7"/>
        <v>0</v>
      </c>
      <c r="D72" s="253">
        <f t="shared" si="8"/>
        <v>0</v>
      </c>
      <c r="E72" s="253">
        <f t="shared" si="9"/>
        <v>0</v>
      </c>
      <c r="F72" s="253">
        <f t="shared" si="10"/>
        <v>0</v>
      </c>
      <c r="G72" s="253">
        <f t="shared" si="11"/>
        <v>0</v>
      </c>
      <c r="H72" s="253">
        <f t="shared" si="12"/>
        <v>0</v>
      </c>
    </row>
    <row r="73" spans="1:8">
      <c r="A73" s="80" t="str">
        <f t="shared" si="5"/>
        <v>Black Gram/Udid</v>
      </c>
      <c r="B73" s="253">
        <f t="shared" si="6"/>
        <v>0</v>
      </c>
      <c r="C73" s="253">
        <f t="shared" si="7"/>
        <v>0</v>
      </c>
      <c r="D73" s="253">
        <f t="shared" si="8"/>
        <v>0</v>
      </c>
      <c r="E73" s="253">
        <f t="shared" si="9"/>
        <v>0</v>
      </c>
      <c r="F73" s="253">
        <f t="shared" si="10"/>
        <v>0</v>
      </c>
      <c r="G73" s="253">
        <f t="shared" si="11"/>
        <v>0</v>
      </c>
      <c r="H73" s="253">
        <f t="shared" si="12"/>
        <v>0</v>
      </c>
    </row>
    <row r="74" spans="1:8">
      <c r="A74" s="80" t="str">
        <f t="shared" si="5"/>
        <v>Bajra</v>
      </c>
      <c r="B74" s="253">
        <f t="shared" si="6"/>
        <v>0</v>
      </c>
      <c r="C74" s="253">
        <f t="shared" si="7"/>
        <v>0</v>
      </c>
      <c r="D74" s="253">
        <f t="shared" si="8"/>
        <v>0</v>
      </c>
      <c r="E74" s="253">
        <f t="shared" si="9"/>
        <v>0</v>
      </c>
      <c r="F74" s="253">
        <f t="shared" si="10"/>
        <v>0</v>
      </c>
      <c r="G74" s="253">
        <f t="shared" si="11"/>
        <v>0</v>
      </c>
      <c r="H74" s="253">
        <f t="shared" si="12"/>
        <v>0</v>
      </c>
    </row>
    <row r="75" spans="1:8">
      <c r="A75" s="80" t="str">
        <f t="shared" si="5"/>
        <v>Jawar</v>
      </c>
      <c r="B75" s="253">
        <f t="shared" si="6"/>
        <v>0</v>
      </c>
      <c r="C75" s="253">
        <f t="shared" si="7"/>
        <v>0</v>
      </c>
      <c r="D75" s="253">
        <f t="shared" si="8"/>
        <v>0</v>
      </c>
      <c r="E75" s="253">
        <f t="shared" si="9"/>
        <v>0</v>
      </c>
      <c r="F75" s="253">
        <f t="shared" si="10"/>
        <v>0</v>
      </c>
      <c r="G75" s="253">
        <f t="shared" si="11"/>
        <v>0</v>
      </c>
      <c r="H75" s="253">
        <f t="shared" si="12"/>
        <v>0</v>
      </c>
    </row>
    <row r="76" spans="1:8">
      <c r="A76" s="80" t="str">
        <f t="shared" si="5"/>
        <v>Sunflower</v>
      </c>
      <c r="B76" s="253">
        <f t="shared" si="6"/>
        <v>0</v>
      </c>
      <c r="C76" s="253">
        <f t="shared" si="7"/>
        <v>0</v>
      </c>
      <c r="D76" s="253">
        <f t="shared" si="8"/>
        <v>0</v>
      </c>
      <c r="E76" s="253">
        <f t="shared" si="9"/>
        <v>0</v>
      </c>
      <c r="F76" s="253">
        <f t="shared" si="10"/>
        <v>0</v>
      </c>
      <c r="G76" s="253">
        <f t="shared" si="11"/>
        <v>0</v>
      </c>
      <c r="H76" s="253">
        <f t="shared" si="12"/>
        <v>0</v>
      </c>
    </row>
    <row r="77" spans="1:8">
      <c r="A77" s="80" t="str">
        <f t="shared" si="5"/>
        <v>Wheat</v>
      </c>
      <c r="B77" s="253">
        <f t="shared" si="6"/>
        <v>0</v>
      </c>
      <c r="C77" s="253">
        <f t="shared" si="7"/>
        <v>0</v>
      </c>
      <c r="D77" s="253">
        <f t="shared" si="8"/>
        <v>0</v>
      </c>
      <c r="E77" s="253">
        <f t="shared" si="9"/>
        <v>0</v>
      </c>
      <c r="F77" s="253">
        <f t="shared" si="10"/>
        <v>0</v>
      </c>
      <c r="G77" s="253">
        <f t="shared" si="11"/>
        <v>0</v>
      </c>
      <c r="H77" s="253">
        <f t="shared" si="12"/>
        <v>0</v>
      </c>
    </row>
    <row r="78" spans="1:8">
      <c r="A78" s="80" t="str">
        <f t="shared" si="5"/>
        <v>Bengal Gram/Channa</v>
      </c>
      <c r="B78" s="253">
        <f t="shared" si="6"/>
        <v>0</v>
      </c>
      <c r="C78" s="253">
        <f t="shared" si="7"/>
        <v>0</v>
      </c>
      <c r="D78" s="253">
        <f t="shared" si="8"/>
        <v>0</v>
      </c>
      <c r="E78" s="253">
        <f t="shared" si="9"/>
        <v>0</v>
      </c>
      <c r="F78" s="253">
        <f t="shared" si="10"/>
        <v>0</v>
      </c>
      <c r="G78" s="253">
        <f t="shared" si="11"/>
        <v>0</v>
      </c>
      <c r="H78" s="253">
        <f t="shared" si="12"/>
        <v>0</v>
      </c>
    </row>
    <row r="79" spans="1:8">
      <c r="A79" s="80" t="str">
        <f t="shared" si="5"/>
        <v>Jawar</v>
      </c>
      <c r="B79" s="253">
        <f t="shared" si="6"/>
        <v>0</v>
      </c>
      <c r="C79" s="253">
        <f t="shared" si="7"/>
        <v>0</v>
      </c>
      <c r="D79" s="253">
        <f t="shared" si="8"/>
        <v>0</v>
      </c>
      <c r="E79" s="253">
        <f t="shared" si="9"/>
        <v>0</v>
      </c>
      <c r="F79" s="253">
        <f t="shared" si="10"/>
        <v>0</v>
      </c>
      <c r="G79" s="253">
        <f t="shared" si="11"/>
        <v>0</v>
      </c>
      <c r="H79" s="253">
        <f t="shared" si="12"/>
        <v>0</v>
      </c>
    </row>
    <row r="80" spans="1:8">
      <c r="A80" s="80" t="str">
        <f t="shared" si="5"/>
        <v>Maize</v>
      </c>
      <c r="B80" s="253">
        <f t="shared" si="6"/>
        <v>0</v>
      </c>
      <c r="C80" s="253">
        <f t="shared" si="7"/>
        <v>0</v>
      </c>
      <c r="D80" s="253">
        <f t="shared" si="8"/>
        <v>0</v>
      </c>
      <c r="E80" s="253">
        <f t="shared" si="9"/>
        <v>0</v>
      </c>
      <c r="F80" s="253">
        <f t="shared" si="10"/>
        <v>0</v>
      </c>
      <c r="G80" s="253">
        <f t="shared" si="11"/>
        <v>0</v>
      </c>
      <c r="H80" s="253">
        <f t="shared" si="12"/>
        <v>0</v>
      </c>
    </row>
    <row r="81" spans="1:12">
      <c r="A81" s="80" t="str">
        <f t="shared" si="5"/>
        <v>Safflower</v>
      </c>
      <c r="B81" s="253">
        <f t="shared" si="6"/>
        <v>0</v>
      </c>
      <c r="C81" s="253">
        <f t="shared" si="7"/>
        <v>0</v>
      </c>
      <c r="D81" s="253">
        <f t="shared" si="8"/>
        <v>0</v>
      </c>
      <c r="E81" s="253">
        <f t="shared" si="9"/>
        <v>0</v>
      </c>
      <c r="F81" s="253">
        <f t="shared" si="10"/>
        <v>0</v>
      </c>
      <c r="G81" s="253">
        <f t="shared" si="11"/>
        <v>0</v>
      </c>
      <c r="H81" s="253">
        <f t="shared" si="12"/>
        <v>0</v>
      </c>
    </row>
    <row r="82" spans="1:12">
      <c r="A82" s="80">
        <f t="shared" si="5"/>
        <v>0</v>
      </c>
      <c r="B82" s="253">
        <f t="shared" si="6"/>
        <v>0</v>
      </c>
      <c r="C82" s="253">
        <f t="shared" si="7"/>
        <v>0</v>
      </c>
      <c r="D82" s="253">
        <f t="shared" si="8"/>
        <v>0</v>
      </c>
      <c r="E82" s="253">
        <f t="shared" si="9"/>
        <v>0</v>
      </c>
      <c r="F82" s="253">
        <f t="shared" si="10"/>
        <v>0</v>
      </c>
      <c r="G82" s="253">
        <f t="shared" si="11"/>
        <v>0</v>
      </c>
      <c r="H82" s="253">
        <f t="shared" si="12"/>
        <v>0</v>
      </c>
    </row>
    <row r="83" spans="1:12">
      <c r="A83" s="80">
        <f t="shared" si="5"/>
        <v>0</v>
      </c>
      <c r="B83" s="253">
        <f t="shared" si="6"/>
        <v>0</v>
      </c>
      <c r="C83" s="253">
        <f t="shared" si="7"/>
        <v>0</v>
      </c>
      <c r="D83" s="253">
        <f t="shared" si="8"/>
        <v>0</v>
      </c>
      <c r="E83" s="253">
        <f t="shared" si="9"/>
        <v>0</v>
      </c>
      <c r="F83" s="253">
        <f t="shared" si="10"/>
        <v>0</v>
      </c>
      <c r="G83" s="253">
        <f t="shared" si="11"/>
        <v>0</v>
      </c>
      <c r="H83" s="253">
        <f t="shared" si="12"/>
        <v>0</v>
      </c>
    </row>
    <row r="84" spans="1:12">
      <c r="A84" s="80">
        <f t="shared" si="5"/>
        <v>0</v>
      </c>
      <c r="B84" s="253">
        <f t="shared" si="6"/>
        <v>0</v>
      </c>
      <c r="C84" s="253">
        <f t="shared" ref="C84:H89" si="13">C27*$B$63</f>
        <v>0</v>
      </c>
      <c r="D84" s="253">
        <f t="shared" si="13"/>
        <v>0</v>
      </c>
      <c r="E84" s="253">
        <f t="shared" si="13"/>
        <v>0</v>
      </c>
      <c r="F84" s="253">
        <f t="shared" si="13"/>
        <v>0</v>
      </c>
      <c r="G84" s="253">
        <f t="shared" si="13"/>
        <v>0</v>
      </c>
      <c r="H84" s="253">
        <f t="shared" si="13"/>
        <v>0</v>
      </c>
    </row>
    <row r="85" spans="1:12">
      <c r="A85" s="80" t="str">
        <f t="shared" si="5"/>
        <v>Groundnut</v>
      </c>
      <c r="B85" s="253">
        <f t="shared" si="6"/>
        <v>0</v>
      </c>
      <c r="C85" s="253">
        <f t="shared" si="13"/>
        <v>0</v>
      </c>
      <c r="D85" s="253">
        <f t="shared" si="13"/>
        <v>0</v>
      </c>
      <c r="E85" s="253">
        <f t="shared" si="13"/>
        <v>0</v>
      </c>
      <c r="F85" s="253">
        <f t="shared" si="13"/>
        <v>0</v>
      </c>
      <c r="G85" s="253">
        <f t="shared" si="13"/>
        <v>0</v>
      </c>
      <c r="H85" s="253">
        <f t="shared" si="13"/>
        <v>0</v>
      </c>
    </row>
    <row r="86" spans="1:12">
      <c r="A86" s="80">
        <f t="shared" si="5"/>
        <v>0</v>
      </c>
      <c r="B86" s="253">
        <f t="shared" si="6"/>
        <v>0</v>
      </c>
      <c r="C86" s="253">
        <f t="shared" si="13"/>
        <v>0</v>
      </c>
      <c r="D86" s="253">
        <f t="shared" si="13"/>
        <v>0</v>
      </c>
      <c r="E86" s="253">
        <f t="shared" si="13"/>
        <v>0</v>
      </c>
      <c r="F86" s="253">
        <f t="shared" si="13"/>
        <v>0</v>
      </c>
      <c r="G86" s="253">
        <f t="shared" si="13"/>
        <v>0</v>
      </c>
      <c r="H86" s="253">
        <f t="shared" si="13"/>
        <v>0</v>
      </c>
    </row>
    <row r="87" spans="1:12">
      <c r="A87" s="80">
        <f t="shared" si="5"/>
        <v>0</v>
      </c>
      <c r="B87" s="253">
        <f t="shared" si="6"/>
        <v>0</v>
      </c>
      <c r="C87" s="253">
        <f t="shared" si="13"/>
        <v>0</v>
      </c>
      <c r="D87" s="253">
        <f t="shared" si="13"/>
        <v>0</v>
      </c>
      <c r="E87" s="253">
        <f t="shared" si="13"/>
        <v>0</v>
      </c>
      <c r="F87" s="253">
        <f t="shared" si="13"/>
        <v>0</v>
      </c>
      <c r="G87" s="253">
        <f t="shared" si="13"/>
        <v>0</v>
      </c>
      <c r="H87" s="253">
        <f t="shared" si="13"/>
        <v>0</v>
      </c>
    </row>
    <row r="88" spans="1:12">
      <c r="A88" s="80">
        <f t="shared" si="5"/>
        <v>0</v>
      </c>
      <c r="B88" s="253">
        <f t="shared" si="6"/>
        <v>0</v>
      </c>
      <c r="C88" s="253">
        <f t="shared" si="13"/>
        <v>0</v>
      </c>
      <c r="D88" s="253">
        <f t="shared" si="13"/>
        <v>0</v>
      </c>
      <c r="E88" s="253">
        <f t="shared" si="13"/>
        <v>0</v>
      </c>
      <c r="F88" s="253">
        <f t="shared" si="13"/>
        <v>0</v>
      </c>
      <c r="G88" s="253">
        <f t="shared" si="13"/>
        <v>0</v>
      </c>
      <c r="H88" s="253">
        <f t="shared" si="13"/>
        <v>0</v>
      </c>
    </row>
    <row r="89" spans="1:12">
      <c r="A89" s="80">
        <f t="shared" si="5"/>
        <v>0</v>
      </c>
      <c r="B89" s="253">
        <f t="shared" si="6"/>
        <v>0</v>
      </c>
      <c r="C89" s="253">
        <f t="shared" si="13"/>
        <v>0</v>
      </c>
      <c r="D89" s="253">
        <f t="shared" si="13"/>
        <v>0</v>
      </c>
      <c r="E89" s="253">
        <f t="shared" si="13"/>
        <v>0</v>
      </c>
      <c r="F89" s="253">
        <f t="shared" si="13"/>
        <v>0</v>
      </c>
      <c r="G89" s="253">
        <f t="shared" si="13"/>
        <v>0</v>
      </c>
      <c r="H89" s="253">
        <f t="shared" si="13"/>
        <v>0</v>
      </c>
    </row>
    <row r="90" spans="1:12">
      <c r="A90" s="80"/>
      <c r="B90" s="253"/>
      <c r="C90" s="253"/>
      <c r="D90" s="253"/>
      <c r="E90" s="253"/>
      <c r="F90" s="253"/>
      <c r="G90" s="253"/>
      <c r="H90" s="253"/>
      <c r="J90" s="275"/>
      <c r="K90" s="275"/>
      <c r="L90" s="275"/>
    </row>
    <row r="91" spans="1:12">
      <c r="A91" s="80" t="str">
        <f t="shared" ref="A91:A109" si="14">A34</f>
        <v>Grain Crop Production Details</v>
      </c>
      <c r="B91" s="253"/>
      <c r="C91" s="253"/>
      <c r="D91" s="253"/>
      <c r="E91" s="253"/>
      <c r="F91" s="253"/>
      <c r="G91" s="253"/>
      <c r="H91" s="253"/>
      <c r="J91" s="275"/>
      <c r="K91" s="275"/>
      <c r="L91" s="275"/>
    </row>
    <row r="92" spans="1:12">
      <c r="A92" s="80" t="str">
        <f t="shared" si="14"/>
        <v>Paddy</v>
      </c>
      <c r="B92" s="253">
        <f t="shared" ref="B92:H101" si="15">B35</f>
        <v>3600</v>
      </c>
      <c r="C92" s="253">
        <f t="shared" si="15"/>
        <v>3960.0000000000005</v>
      </c>
      <c r="D92" s="253">
        <f t="shared" si="15"/>
        <v>4320.0000000000009</v>
      </c>
      <c r="E92" s="253">
        <f t="shared" si="15"/>
        <v>4680.0000000000009</v>
      </c>
      <c r="F92" s="253">
        <f t="shared" si="15"/>
        <v>5040.0000000000009</v>
      </c>
      <c r="G92" s="253">
        <f t="shared" si="15"/>
        <v>5400.0000000000018</v>
      </c>
      <c r="H92" s="253">
        <f t="shared" si="15"/>
        <v>5760.0000000000018</v>
      </c>
      <c r="J92" s="275"/>
      <c r="K92" s="275"/>
      <c r="L92" s="275"/>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5"/>
      <c r="K93" s="275"/>
      <c r="L93" s="275"/>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5"/>
      <c r="K94" s="275"/>
      <c r="L94" s="275"/>
    </row>
    <row r="95" spans="1:12">
      <c r="A95" s="80" t="str">
        <f t="shared" si="14"/>
        <v>-</v>
      </c>
      <c r="B95" s="253">
        <f t="shared" si="15"/>
        <v>0</v>
      </c>
      <c r="C95" s="253">
        <f t="shared" si="15"/>
        <v>0</v>
      </c>
      <c r="D95" s="253">
        <f t="shared" si="15"/>
        <v>0</v>
      </c>
      <c r="E95" s="253">
        <f t="shared" si="15"/>
        <v>0</v>
      </c>
      <c r="F95" s="253">
        <f t="shared" si="15"/>
        <v>0</v>
      </c>
      <c r="G95" s="253">
        <f t="shared" si="15"/>
        <v>0</v>
      </c>
      <c r="H95" s="253">
        <f t="shared" si="15"/>
        <v>0</v>
      </c>
      <c r="J95" s="275"/>
      <c r="K95" s="275"/>
      <c r="L95" s="275"/>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5"/>
      <c r="K96" s="275"/>
      <c r="L96" s="275"/>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5"/>
      <c r="K97" s="275"/>
      <c r="L97" s="275"/>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5"/>
      <c r="K98" s="275"/>
      <c r="L98" s="275"/>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5"/>
      <c r="K99" s="275"/>
      <c r="L99" s="275"/>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5"/>
      <c r="K100" s="275"/>
      <c r="L100" s="275"/>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5"/>
      <c r="K101" s="275"/>
      <c r="L101" s="275"/>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5"/>
      <c r="K102" s="275"/>
      <c r="L102" s="275"/>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5"/>
      <c r="K103" s="275"/>
      <c r="L103" s="275"/>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5"/>
      <c r="K104" s="275"/>
      <c r="L104" s="275"/>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5"/>
      <c r="K105" s="275"/>
      <c r="L105" s="275"/>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5"/>
      <c r="K106" s="275"/>
      <c r="L106" s="275"/>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5"/>
      <c r="K107" s="275"/>
      <c r="L107" s="275"/>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5"/>
      <c r="K108" s="275"/>
      <c r="L108" s="275"/>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5"/>
      <c r="K109" s="275"/>
      <c r="L109" s="275"/>
    </row>
    <row r="110" spans="1:12">
      <c r="A110" s="80" t="e">
        <f t="shared" ref="A110:A113" si="17">A53</f>
        <v>#REF!</v>
      </c>
      <c r="B110" s="253"/>
      <c r="C110" s="253"/>
      <c r="D110" s="253"/>
      <c r="E110" s="253"/>
      <c r="F110" s="253"/>
      <c r="G110" s="253"/>
      <c r="H110" s="253"/>
      <c r="J110" s="275"/>
      <c r="K110" s="275"/>
      <c r="L110" s="275"/>
    </row>
    <row r="111" spans="1:12">
      <c r="A111" s="80" t="e">
        <f t="shared" si="17"/>
        <v>#REF!</v>
      </c>
      <c r="B111" s="253"/>
      <c r="C111" s="253"/>
      <c r="D111" s="253"/>
      <c r="E111" s="253"/>
      <c r="F111" s="253"/>
      <c r="G111" s="253"/>
      <c r="H111" s="253"/>
      <c r="J111" s="275"/>
      <c r="K111" s="275"/>
      <c r="L111" s="275"/>
    </row>
    <row r="112" spans="1:12">
      <c r="A112" s="80" t="e">
        <f t="shared" si="17"/>
        <v>#REF!</v>
      </c>
      <c r="B112" s="253"/>
      <c r="C112" s="253"/>
      <c r="D112" s="253"/>
      <c r="E112" s="253"/>
      <c r="F112" s="253"/>
      <c r="G112" s="253"/>
      <c r="H112" s="253"/>
      <c r="J112" s="275"/>
      <c r="K112" s="275"/>
      <c r="L112" s="275"/>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5"/>
      <c r="K113" s="275"/>
      <c r="L113" s="275"/>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5"/>
      <c r="K114" s="275"/>
      <c r="L114" s="275"/>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5"/>
      <c r="K115" s="275"/>
      <c r="L115" s="275"/>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5"/>
      <c r="K116" s="275"/>
      <c r="L116" s="275"/>
    </row>
    <row r="117" spans="1:12">
      <c r="A117" s="80"/>
      <c r="B117" s="253"/>
      <c r="C117" s="253"/>
      <c r="D117" s="253"/>
      <c r="E117" s="253"/>
      <c r="F117" s="253"/>
      <c r="G117" s="253"/>
      <c r="H117" s="253"/>
      <c r="J117" s="275"/>
      <c r="K117" s="275"/>
      <c r="L117" s="275"/>
    </row>
    <row r="118" spans="1:12">
      <c r="A118" s="80"/>
      <c r="B118" s="253"/>
      <c r="C118" s="253"/>
      <c r="D118" s="253"/>
      <c r="E118" s="253"/>
      <c r="F118" s="253"/>
      <c r="G118" s="253"/>
      <c r="H118" s="253"/>
      <c r="J118" s="275"/>
      <c r="K118" s="275"/>
      <c r="L118" s="275"/>
    </row>
    <row r="119" spans="1:12">
      <c r="A119" s="86" t="s">
        <v>135</v>
      </c>
      <c r="B119" s="80"/>
      <c r="C119" s="80"/>
      <c r="D119" s="80"/>
      <c r="E119" s="80"/>
      <c r="F119" s="80"/>
      <c r="G119" s="80"/>
      <c r="H119" s="80"/>
    </row>
    <row r="120" spans="1:12">
      <c r="A120" s="84" t="str">
        <f t="shared" ref="A120:A141" si="19">A68</f>
        <v>Soybean</v>
      </c>
      <c r="B120" s="254">
        <f t="shared" ref="B120:H129" si="20">B68-(B68*$G$6)</f>
        <v>0</v>
      </c>
      <c r="C120" s="254">
        <f t="shared" si="20"/>
        <v>0</v>
      </c>
      <c r="D120" s="254">
        <f t="shared" si="20"/>
        <v>0</v>
      </c>
      <c r="E120" s="254">
        <f t="shared" si="20"/>
        <v>0</v>
      </c>
      <c r="F120" s="254">
        <f t="shared" si="20"/>
        <v>0</v>
      </c>
      <c r="G120" s="254">
        <f t="shared" si="20"/>
        <v>0</v>
      </c>
      <c r="H120" s="254">
        <f t="shared" si="20"/>
        <v>0</v>
      </c>
    </row>
    <row r="121" spans="1:12">
      <c r="A121" s="84" t="str">
        <f t="shared" si="19"/>
        <v>Red Gram/Tur</v>
      </c>
      <c r="B121" s="254">
        <f t="shared" si="20"/>
        <v>0</v>
      </c>
      <c r="C121" s="254">
        <f t="shared" si="20"/>
        <v>0</v>
      </c>
      <c r="D121" s="254">
        <f t="shared" si="20"/>
        <v>0</v>
      </c>
      <c r="E121" s="254">
        <f t="shared" si="20"/>
        <v>0</v>
      </c>
      <c r="F121" s="254">
        <f t="shared" si="20"/>
        <v>0</v>
      </c>
      <c r="G121" s="254">
        <f t="shared" si="20"/>
        <v>0</v>
      </c>
      <c r="H121" s="254">
        <f t="shared" si="20"/>
        <v>0</v>
      </c>
    </row>
    <row r="122" spans="1:12">
      <c r="A122" s="84" t="str">
        <f t="shared" si="19"/>
        <v>Paddy/Rice</v>
      </c>
      <c r="B122" s="254">
        <f t="shared" si="20"/>
        <v>0</v>
      </c>
      <c r="C122" s="254">
        <f t="shared" si="20"/>
        <v>0</v>
      </c>
      <c r="D122" s="254">
        <f t="shared" si="20"/>
        <v>0</v>
      </c>
      <c r="E122" s="254">
        <f t="shared" si="20"/>
        <v>0</v>
      </c>
      <c r="F122" s="254">
        <f t="shared" si="20"/>
        <v>0</v>
      </c>
      <c r="G122" s="254">
        <f t="shared" si="20"/>
        <v>0</v>
      </c>
      <c r="H122" s="254">
        <f t="shared" si="20"/>
        <v>0</v>
      </c>
    </row>
    <row r="123" spans="1:12">
      <c r="A123" s="84" t="str">
        <f t="shared" si="19"/>
        <v>Green Gram/ Moong</v>
      </c>
      <c r="B123" s="254">
        <f t="shared" si="20"/>
        <v>0</v>
      </c>
      <c r="C123" s="254">
        <f t="shared" si="20"/>
        <v>0</v>
      </c>
      <c r="D123" s="254">
        <f t="shared" si="20"/>
        <v>0</v>
      </c>
      <c r="E123" s="254">
        <f t="shared" si="20"/>
        <v>0</v>
      </c>
      <c r="F123" s="254">
        <f t="shared" si="20"/>
        <v>0</v>
      </c>
      <c r="G123" s="254">
        <f t="shared" si="20"/>
        <v>0</v>
      </c>
      <c r="H123" s="254">
        <f t="shared" si="20"/>
        <v>0</v>
      </c>
    </row>
    <row r="124" spans="1:12">
      <c r="A124" s="84" t="str">
        <f t="shared" si="19"/>
        <v>Maize</v>
      </c>
      <c r="B124" s="254">
        <f t="shared" si="20"/>
        <v>0</v>
      </c>
      <c r="C124" s="254">
        <f t="shared" si="20"/>
        <v>0</v>
      </c>
      <c r="D124" s="254">
        <f t="shared" si="20"/>
        <v>0</v>
      </c>
      <c r="E124" s="254">
        <f t="shared" si="20"/>
        <v>0</v>
      </c>
      <c r="F124" s="254">
        <f t="shared" si="20"/>
        <v>0</v>
      </c>
      <c r="G124" s="254">
        <f t="shared" si="20"/>
        <v>0</v>
      </c>
      <c r="H124" s="254">
        <f t="shared" si="20"/>
        <v>0</v>
      </c>
    </row>
    <row r="125" spans="1:12">
      <c r="A125" s="84" t="str">
        <f t="shared" si="19"/>
        <v>Black Gram/Udid</v>
      </c>
      <c r="B125" s="254">
        <f t="shared" si="20"/>
        <v>0</v>
      </c>
      <c r="C125" s="254">
        <f t="shared" si="20"/>
        <v>0</v>
      </c>
      <c r="D125" s="254">
        <f t="shared" si="20"/>
        <v>0</v>
      </c>
      <c r="E125" s="254">
        <f t="shared" si="20"/>
        <v>0</v>
      </c>
      <c r="F125" s="254">
        <f t="shared" si="20"/>
        <v>0</v>
      </c>
      <c r="G125" s="254">
        <f t="shared" si="20"/>
        <v>0</v>
      </c>
      <c r="H125" s="254">
        <f t="shared" si="20"/>
        <v>0</v>
      </c>
    </row>
    <row r="126" spans="1:12">
      <c r="A126" s="84" t="str">
        <f t="shared" si="19"/>
        <v>Bajra</v>
      </c>
      <c r="B126" s="254">
        <f t="shared" si="20"/>
        <v>0</v>
      </c>
      <c r="C126" s="254">
        <f t="shared" si="20"/>
        <v>0</v>
      </c>
      <c r="D126" s="254">
        <f t="shared" si="20"/>
        <v>0</v>
      </c>
      <c r="E126" s="254">
        <f t="shared" si="20"/>
        <v>0</v>
      </c>
      <c r="F126" s="254">
        <f t="shared" si="20"/>
        <v>0</v>
      </c>
      <c r="G126" s="254">
        <f t="shared" si="20"/>
        <v>0</v>
      </c>
      <c r="H126" s="254">
        <f t="shared" si="20"/>
        <v>0</v>
      </c>
    </row>
    <row r="127" spans="1:12">
      <c r="A127" s="84" t="str">
        <f t="shared" si="19"/>
        <v>Jawar</v>
      </c>
      <c r="B127" s="254">
        <f t="shared" si="20"/>
        <v>0</v>
      </c>
      <c r="C127" s="254">
        <f t="shared" si="20"/>
        <v>0</v>
      </c>
      <c r="D127" s="254">
        <f t="shared" si="20"/>
        <v>0</v>
      </c>
      <c r="E127" s="254">
        <f t="shared" si="20"/>
        <v>0</v>
      </c>
      <c r="F127" s="254">
        <f t="shared" si="20"/>
        <v>0</v>
      </c>
      <c r="G127" s="254">
        <f t="shared" si="20"/>
        <v>0</v>
      </c>
      <c r="H127" s="254">
        <f t="shared" si="20"/>
        <v>0</v>
      </c>
    </row>
    <row r="128" spans="1:12">
      <c r="A128" s="84" t="str">
        <f t="shared" si="19"/>
        <v>Sunflower</v>
      </c>
      <c r="B128" s="254">
        <f t="shared" si="20"/>
        <v>0</v>
      </c>
      <c r="C128" s="254">
        <f t="shared" si="20"/>
        <v>0</v>
      </c>
      <c r="D128" s="254">
        <f t="shared" si="20"/>
        <v>0</v>
      </c>
      <c r="E128" s="254">
        <f t="shared" si="20"/>
        <v>0</v>
      </c>
      <c r="F128" s="254">
        <f t="shared" si="20"/>
        <v>0</v>
      </c>
      <c r="G128" s="254">
        <f t="shared" si="20"/>
        <v>0</v>
      </c>
      <c r="H128" s="254">
        <f t="shared" si="20"/>
        <v>0</v>
      </c>
    </row>
    <row r="129" spans="1:8">
      <c r="A129" s="84" t="str">
        <f t="shared" si="19"/>
        <v>Wheat</v>
      </c>
      <c r="B129" s="254">
        <f t="shared" si="20"/>
        <v>0</v>
      </c>
      <c r="C129" s="254">
        <f t="shared" si="20"/>
        <v>0</v>
      </c>
      <c r="D129" s="254">
        <f t="shared" si="20"/>
        <v>0</v>
      </c>
      <c r="E129" s="254">
        <f t="shared" si="20"/>
        <v>0</v>
      </c>
      <c r="F129" s="254">
        <f t="shared" si="20"/>
        <v>0</v>
      </c>
      <c r="G129" s="254">
        <f t="shared" si="20"/>
        <v>0</v>
      </c>
      <c r="H129" s="254">
        <f t="shared" si="20"/>
        <v>0</v>
      </c>
    </row>
    <row r="130" spans="1:8">
      <c r="A130" s="84" t="str">
        <f t="shared" si="19"/>
        <v>Bengal Gram/Channa</v>
      </c>
      <c r="B130" s="254">
        <f t="shared" ref="B130:H139" si="21">B78-(B78*$G$6)</f>
        <v>0</v>
      </c>
      <c r="C130" s="254">
        <f t="shared" si="21"/>
        <v>0</v>
      </c>
      <c r="D130" s="254">
        <f t="shared" si="21"/>
        <v>0</v>
      </c>
      <c r="E130" s="254">
        <f t="shared" si="21"/>
        <v>0</v>
      </c>
      <c r="F130" s="254">
        <f t="shared" si="21"/>
        <v>0</v>
      </c>
      <c r="G130" s="254">
        <f t="shared" si="21"/>
        <v>0</v>
      </c>
      <c r="H130" s="254">
        <f t="shared" si="21"/>
        <v>0</v>
      </c>
    </row>
    <row r="131" spans="1:8">
      <c r="A131" s="84" t="str">
        <f t="shared" si="19"/>
        <v>Jawar</v>
      </c>
      <c r="B131" s="254">
        <f t="shared" si="21"/>
        <v>0</v>
      </c>
      <c r="C131" s="254">
        <f t="shared" si="21"/>
        <v>0</v>
      </c>
      <c r="D131" s="254">
        <f t="shared" si="21"/>
        <v>0</v>
      </c>
      <c r="E131" s="254">
        <f t="shared" si="21"/>
        <v>0</v>
      </c>
      <c r="F131" s="254">
        <f t="shared" si="21"/>
        <v>0</v>
      </c>
      <c r="G131" s="254">
        <f t="shared" si="21"/>
        <v>0</v>
      </c>
      <c r="H131" s="254">
        <f t="shared" si="21"/>
        <v>0</v>
      </c>
    </row>
    <row r="132" spans="1:8">
      <c r="A132" s="84" t="str">
        <f t="shared" si="19"/>
        <v>Maize</v>
      </c>
      <c r="B132" s="254">
        <f t="shared" si="21"/>
        <v>0</v>
      </c>
      <c r="C132" s="254">
        <f t="shared" si="21"/>
        <v>0</v>
      </c>
      <c r="D132" s="254">
        <f t="shared" si="21"/>
        <v>0</v>
      </c>
      <c r="E132" s="254">
        <f t="shared" si="21"/>
        <v>0</v>
      </c>
      <c r="F132" s="254">
        <f t="shared" si="21"/>
        <v>0</v>
      </c>
      <c r="G132" s="254">
        <f t="shared" si="21"/>
        <v>0</v>
      </c>
      <c r="H132" s="254">
        <f t="shared" si="21"/>
        <v>0</v>
      </c>
    </row>
    <row r="133" spans="1:8">
      <c r="A133" s="84" t="str">
        <f t="shared" si="19"/>
        <v>Safflower</v>
      </c>
      <c r="B133" s="254">
        <f t="shared" si="21"/>
        <v>0</v>
      </c>
      <c r="C133" s="254">
        <f t="shared" si="21"/>
        <v>0</v>
      </c>
      <c r="D133" s="254">
        <f t="shared" si="21"/>
        <v>0</v>
      </c>
      <c r="E133" s="254">
        <f t="shared" si="21"/>
        <v>0</v>
      </c>
      <c r="F133" s="254">
        <f t="shared" si="21"/>
        <v>0</v>
      </c>
      <c r="G133" s="254">
        <f t="shared" si="21"/>
        <v>0</v>
      </c>
      <c r="H133" s="254">
        <f t="shared" si="21"/>
        <v>0</v>
      </c>
    </row>
    <row r="134" spans="1:8">
      <c r="A134" s="84">
        <f t="shared" si="19"/>
        <v>0</v>
      </c>
      <c r="B134" s="254">
        <f t="shared" si="21"/>
        <v>0</v>
      </c>
      <c r="C134" s="254">
        <f t="shared" si="21"/>
        <v>0</v>
      </c>
      <c r="D134" s="254">
        <f t="shared" si="21"/>
        <v>0</v>
      </c>
      <c r="E134" s="254">
        <f t="shared" si="21"/>
        <v>0</v>
      </c>
      <c r="F134" s="254">
        <f t="shared" si="21"/>
        <v>0</v>
      </c>
      <c r="G134" s="254">
        <f t="shared" si="21"/>
        <v>0</v>
      </c>
      <c r="H134" s="254">
        <f t="shared" si="21"/>
        <v>0</v>
      </c>
    </row>
    <row r="135" spans="1:8">
      <c r="A135" s="84">
        <f t="shared" si="19"/>
        <v>0</v>
      </c>
      <c r="B135" s="254">
        <f t="shared" si="21"/>
        <v>0</v>
      </c>
      <c r="C135" s="254">
        <f t="shared" si="21"/>
        <v>0</v>
      </c>
      <c r="D135" s="254">
        <f t="shared" si="21"/>
        <v>0</v>
      </c>
      <c r="E135" s="254">
        <f t="shared" si="21"/>
        <v>0</v>
      </c>
      <c r="F135" s="254">
        <f t="shared" si="21"/>
        <v>0</v>
      </c>
      <c r="G135" s="254">
        <f t="shared" si="21"/>
        <v>0</v>
      </c>
      <c r="H135" s="254">
        <f t="shared" si="21"/>
        <v>0</v>
      </c>
    </row>
    <row r="136" spans="1:8">
      <c r="A136" s="84">
        <f t="shared" si="19"/>
        <v>0</v>
      </c>
      <c r="B136" s="254">
        <f t="shared" si="21"/>
        <v>0</v>
      </c>
      <c r="C136" s="254">
        <f t="shared" si="21"/>
        <v>0</v>
      </c>
      <c r="D136" s="254">
        <f t="shared" si="21"/>
        <v>0</v>
      </c>
      <c r="E136" s="254">
        <f t="shared" si="21"/>
        <v>0</v>
      </c>
      <c r="F136" s="254">
        <f t="shared" si="21"/>
        <v>0</v>
      </c>
      <c r="G136" s="254">
        <f t="shared" si="21"/>
        <v>0</v>
      </c>
      <c r="H136" s="254">
        <f t="shared" si="21"/>
        <v>0</v>
      </c>
    </row>
    <row r="137" spans="1:8">
      <c r="A137" s="84" t="str">
        <f t="shared" si="19"/>
        <v>Groundnut</v>
      </c>
      <c r="B137" s="254">
        <f t="shared" si="21"/>
        <v>0</v>
      </c>
      <c r="C137" s="254">
        <f t="shared" si="21"/>
        <v>0</v>
      </c>
      <c r="D137" s="254">
        <f t="shared" si="21"/>
        <v>0</v>
      </c>
      <c r="E137" s="254">
        <f t="shared" si="21"/>
        <v>0</v>
      </c>
      <c r="F137" s="254">
        <f t="shared" si="21"/>
        <v>0</v>
      </c>
      <c r="G137" s="254">
        <f t="shared" si="21"/>
        <v>0</v>
      </c>
      <c r="H137" s="254">
        <f t="shared" si="21"/>
        <v>0</v>
      </c>
    </row>
    <row r="138" spans="1:8">
      <c r="A138" s="84">
        <f t="shared" si="19"/>
        <v>0</v>
      </c>
      <c r="B138" s="254">
        <f t="shared" si="21"/>
        <v>0</v>
      </c>
      <c r="C138" s="254">
        <f t="shared" si="21"/>
        <v>0</v>
      </c>
      <c r="D138" s="254">
        <f t="shared" si="21"/>
        <v>0</v>
      </c>
      <c r="E138" s="254">
        <f t="shared" si="21"/>
        <v>0</v>
      </c>
      <c r="F138" s="254">
        <f t="shared" si="21"/>
        <v>0</v>
      </c>
      <c r="G138" s="254">
        <f t="shared" si="21"/>
        <v>0</v>
      </c>
      <c r="H138" s="254">
        <f t="shared" si="21"/>
        <v>0</v>
      </c>
    </row>
    <row r="139" spans="1:8">
      <c r="A139" s="84">
        <f t="shared" si="19"/>
        <v>0</v>
      </c>
      <c r="B139" s="254">
        <f t="shared" si="21"/>
        <v>0</v>
      </c>
      <c r="C139" s="254">
        <f t="shared" si="21"/>
        <v>0</v>
      </c>
      <c r="D139" s="254">
        <f t="shared" si="21"/>
        <v>0</v>
      </c>
      <c r="E139" s="254">
        <f t="shared" si="21"/>
        <v>0</v>
      </c>
      <c r="F139" s="254">
        <f t="shared" si="21"/>
        <v>0</v>
      </c>
      <c r="G139" s="254">
        <f t="shared" si="21"/>
        <v>0</v>
      </c>
      <c r="H139" s="254">
        <f t="shared" si="21"/>
        <v>0</v>
      </c>
    </row>
    <row r="140" spans="1:8">
      <c r="A140" s="84">
        <f t="shared" si="19"/>
        <v>0</v>
      </c>
      <c r="B140" s="254">
        <f t="shared" ref="B140:H141" si="22">B88-(B88*$G$6)</f>
        <v>0</v>
      </c>
      <c r="C140" s="254">
        <f t="shared" si="22"/>
        <v>0</v>
      </c>
      <c r="D140" s="254">
        <f t="shared" si="22"/>
        <v>0</v>
      </c>
      <c r="E140" s="254">
        <f t="shared" si="22"/>
        <v>0</v>
      </c>
      <c r="F140" s="254">
        <f t="shared" si="22"/>
        <v>0</v>
      </c>
      <c r="G140" s="254">
        <f t="shared" si="22"/>
        <v>0</v>
      </c>
      <c r="H140" s="254">
        <f t="shared" si="22"/>
        <v>0</v>
      </c>
    </row>
    <row r="141" spans="1:8">
      <c r="A141" s="84">
        <f t="shared" si="19"/>
        <v>0</v>
      </c>
      <c r="B141" s="254">
        <f t="shared" si="22"/>
        <v>0</v>
      </c>
      <c r="C141" s="254">
        <f t="shared" si="22"/>
        <v>0</v>
      </c>
      <c r="D141" s="254">
        <f t="shared" si="22"/>
        <v>0</v>
      </c>
      <c r="E141" s="254">
        <f t="shared" si="22"/>
        <v>0</v>
      </c>
      <c r="F141" s="254">
        <f t="shared" si="22"/>
        <v>0</v>
      </c>
      <c r="G141" s="254">
        <f t="shared" si="22"/>
        <v>0</v>
      </c>
      <c r="H141" s="254">
        <f t="shared" si="22"/>
        <v>0</v>
      </c>
    </row>
    <row r="142" spans="1:8">
      <c r="A142" s="84"/>
      <c r="B142" s="254"/>
      <c r="C142" s="254"/>
      <c r="D142" s="254"/>
      <c r="E142" s="254"/>
      <c r="F142" s="254"/>
      <c r="G142" s="254"/>
      <c r="H142" s="254"/>
    </row>
    <row r="143" spans="1:8">
      <c r="A143" s="86" t="str">
        <f t="shared" ref="A143:A161" si="23">A91</f>
        <v>Grain Crop Production Details</v>
      </c>
      <c r="B143" s="254"/>
      <c r="C143" s="254"/>
      <c r="D143" s="254"/>
      <c r="E143" s="254"/>
      <c r="F143" s="254"/>
      <c r="G143" s="254"/>
      <c r="H143" s="254"/>
    </row>
    <row r="144" spans="1:8">
      <c r="A144" s="84" t="str">
        <f t="shared" si="23"/>
        <v>Paddy</v>
      </c>
      <c r="B144" s="254">
        <f t="shared" ref="B144:H153" si="24">B92-(B92*$G$7)</f>
        <v>3420</v>
      </c>
      <c r="C144" s="254">
        <f t="shared" si="24"/>
        <v>3762.0000000000005</v>
      </c>
      <c r="D144" s="254">
        <f t="shared" si="24"/>
        <v>4104.0000000000009</v>
      </c>
      <c r="E144" s="254">
        <f t="shared" si="24"/>
        <v>4446.0000000000009</v>
      </c>
      <c r="F144" s="254">
        <f t="shared" si="24"/>
        <v>4788.0000000000009</v>
      </c>
      <c r="G144" s="254">
        <f t="shared" si="24"/>
        <v>5130.0000000000018</v>
      </c>
      <c r="H144" s="254">
        <f t="shared" si="24"/>
        <v>5472.0000000000018</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703" t="s">
        <v>551</v>
      </c>
      <c r="B170" s="703"/>
      <c r="C170" s="703"/>
      <c r="D170" s="703"/>
      <c r="E170" s="703"/>
      <c r="F170" s="703"/>
      <c r="G170" s="703"/>
      <c r="H170" s="703"/>
      <c r="I170" s="703"/>
      <c r="J170" s="703"/>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164</v>
      </c>
      <c r="J175" s="70" t="s">
        <v>163</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str">
        <f t="shared" ref="A178:A198" si="32">A120</f>
        <v>Soybean</v>
      </c>
      <c r="B178" s="80" t="s">
        <v>350</v>
      </c>
      <c r="C178" s="219">
        <v>4000</v>
      </c>
      <c r="D178" s="162">
        <f>(B120*(1-'5.Closing Stock &amp; W Capital'!$D$16))*C$178*D172</f>
        <v>0</v>
      </c>
      <c r="E178" s="162">
        <f>((C120*(1-'5.Closing Stock &amp; W Capital'!$D$16))+(B120*'5.Closing Stock &amp; W Capital'!$D$16))*$C178*E$172</f>
        <v>0</v>
      </c>
      <c r="F178" s="162">
        <f>((D120*(1-'5.Closing Stock &amp; W Capital'!$D$16))+(C120*'5.Closing Stock &amp; W Capital'!$D$16))*$C178*F$172</f>
        <v>0</v>
      </c>
      <c r="G178" s="162">
        <f>((E120*(1-'5.Closing Stock &amp; W Capital'!$D$16))+(D120*'5.Closing Stock &amp; W Capital'!$D$16))*$C178*G$172</f>
        <v>0</v>
      </c>
      <c r="H178" s="162">
        <f>((F120*(1-'5.Closing Stock &amp; W Capital'!$D$16))+(E120*'5.Closing Stock &amp; W Capital'!$D$16))*$C178*H$172</f>
        <v>0</v>
      </c>
      <c r="I178" s="162">
        <f>((G120*(1-'5.Closing Stock &amp; W Capital'!$D$16))+(F120*'5.Closing Stock &amp; W Capital'!$D$16))*$C178*I$172</f>
        <v>0</v>
      </c>
      <c r="J178" s="162">
        <f>((H120*(1-'5.Closing Stock &amp; W Capital'!$D$16))+(G120*'5.Closing Stock &amp; W Capital'!$D$16))*$C178*J$172</f>
        <v>0</v>
      </c>
      <c r="K178" s="79"/>
      <c r="L178" s="79"/>
    </row>
    <row r="179" spans="1:12">
      <c r="A179" s="80" t="str">
        <f t="shared" si="32"/>
        <v>Red Gram/Tur</v>
      </c>
      <c r="B179" s="80" t="s">
        <v>350</v>
      </c>
      <c r="C179" s="219">
        <v>6000</v>
      </c>
      <c r="D179" s="162">
        <f>(B121*(1-'5.Closing Stock &amp; W Capital'!$D$16))*$C179*D$172</f>
        <v>0</v>
      </c>
      <c r="E179" s="162">
        <f>((C121*(1-'5.Closing Stock &amp; W Capital'!$D$16))+(B121*'5.Closing Stock &amp; W Capital'!$D$16))*$C179*E$172</f>
        <v>0</v>
      </c>
      <c r="F179" s="162">
        <f>((D121*(1-'5.Closing Stock &amp; W Capital'!$D$16))+(C121*'5.Closing Stock &amp; W Capital'!$D$16))*$C179*F$172</f>
        <v>0</v>
      </c>
      <c r="G179" s="162">
        <f>((E121*(1-'5.Closing Stock &amp; W Capital'!$D$16))+(D121*'5.Closing Stock &amp; W Capital'!$D$16))*$C179*G$172</f>
        <v>0</v>
      </c>
      <c r="H179" s="162">
        <f>((F121*(1-'5.Closing Stock &amp; W Capital'!$D$16))+(E121*'5.Closing Stock &amp; W Capital'!$D$16))*$C179*H$172</f>
        <v>0</v>
      </c>
      <c r="I179" s="162">
        <f>((G121*(1-'5.Closing Stock &amp; W Capital'!$D$16))+(F121*'5.Closing Stock &amp; W Capital'!$D$16))*$C179*I$172</f>
        <v>0</v>
      </c>
      <c r="J179" s="162">
        <f>((H121*(1-'5.Closing Stock &amp; W Capital'!$D$16))+(G121*'5.Closing Stock &amp; W Capital'!$D$16))*$C179*J$172</f>
        <v>0</v>
      </c>
      <c r="K179" s="79"/>
      <c r="L179" s="79"/>
    </row>
    <row r="180" spans="1:12">
      <c r="A180" s="80" t="str">
        <f t="shared" si="32"/>
        <v>Paddy/Rice</v>
      </c>
      <c r="B180" s="80" t="s">
        <v>350</v>
      </c>
      <c r="C180" s="219"/>
      <c r="D180" s="162">
        <f>(B122*(1-'5.Closing Stock &amp; W Capital'!$D$16))*$C180*D$172</f>
        <v>0</v>
      </c>
      <c r="E180" s="162">
        <f>((C122*(1-'5.Closing Stock &amp; W Capital'!$D$16))+(B122*'5.Closing Stock &amp; W Capital'!$D$16))*$C180*E$172</f>
        <v>0</v>
      </c>
      <c r="F180" s="162">
        <f>((D122*(1-'5.Closing Stock &amp; W Capital'!$D$16))+(C122*'5.Closing Stock &amp; W Capital'!$D$16))*$C180*F$172</f>
        <v>0</v>
      </c>
      <c r="G180" s="162">
        <f>((E122*(1-'5.Closing Stock &amp; W Capital'!$D$16))+(D122*'5.Closing Stock &amp; W Capital'!$D$16))*$C180*G$172</f>
        <v>0</v>
      </c>
      <c r="H180" s="162">
        <f>((F122*(1-'5.Closing Stock &amp; W Capital'!$D$16))+(E122*'5.Closing Stock &amp; W Capital'!$D$16))*$C180*H$172</f>
        <v>0</v>
      </c>
      <c r="I180" s="162">
        <f>((G122*(1-'5.Closing Stock &amp; W Capital'!$D$16))+(F122*'5.Closing Stock &amp; W Capital'!$D$16))*$C180*I$172</f>
        <v>0</v>
      </c>
      <c r="J180" s="162">
        <f>((H122*(1-'5.Closing Stock &amp; W Capital'!$D$16))+(G122*'5.Closing Stock &amp; W Capital'!$D$16))*$C180*J$172</f>
        <v>0</v>
      </c>
      <c r="K180" s="79"/>
      <c r="L180" s="79"/>
    </row>
    <row r="181" spans="1:12">
      <c r="A181" s="80" t="str">
        <f t="shared" si="32"/>
        <v>Green Gram/ Moong</v>
      </c>
      <c r="B181" s="80" t="s">
        <v>350</v>
      </c>
      <c r="C181" s="219">
        <v>6000</v>
      </c>
      <c r="D181" s="162">
        <f>(B123*(1-'5.Closing Stock &amp; W Capital'!$D$16))*$C181*D$172</f>
        <v>0</v>
      </c>
      <c r="E181" s="162">
        <f>((C123*(1-'5.Closing Stock &amp; W Capital'!$D$16))+(B123*'5.Closing Stock &amp; W Capital'!$D$16))*$C181*E$172</f>
        <v>0</v>
      </c>
      <c r="F181" s="162">
        <f>((D123*(1-'5.Closing Stock &amp; W Capital'!$D$16))+(C123*'5.Closing Stock &amp; W Capital'!$D$16))*$C181*F$172</f>
        <v>0</v>
      </c>
      <c r="G181" s="162">
        <f>((E123*(1-'5.Closing Stock &amp; W Capital'!$D$16))+(D123*'5.Closing Stock &amp; W Capital'!$D$16))*$C181*G$172</f>
        <v>0</v>
      </c>
      <c r="H181" s="162">
        <f>((F123*(1-'5.Closing Stock &amp; W Capital'!$D$16))+(E123*'5.Closing Stock &amp; W Capital'!$D$16))*$C181*H$172</f>
        <v>0</v>
      </c>
      <c r="I181" s="162">
        <f>((G123*(1-'5.Closing Stock &amp; W Capital'!$D$16))+(F123*'5.Closing Stock &amp; W Capital'!$D$16))*$C181*I$172</f>
        <v>0</v>
      </c>
      <c r="J181" s="162">
        <f>((H123*(1-'5.Closing Stock &amp; W Capital'!$D$16))+(G123*'5.Closing Stock &amp; W Capital'!$D$16))*$C181*J$172</f>
        <v>0</v>
      </c>
      <c r="K181" s="79"/>
      <c r="L181" s="79"/>
    </row>
    <row r="182" spans="1:12">
      <c r="A182" s="80" t="str">
        <f t="shared" si="32"/>
        <v>Maize</v>
      </c>
      <c r="B182" s="80" t="s">
        <v>350</v>
      </c>
      <c r="C182" s="219"/>
      <c r="D182" s="162">
        <f>(B124*(1-'5.Closing Stock &amp; W Capital'!$D$16))*$C182*D$172</f>
        <v>0</v>
      </c>
      <c r="E182" s="162">
        <f>((C124*(1-'5.Closing Stock &amp; W Capital'!$D$16))+(B124*'5.Closing Stock &amp; W Capital'!$D$16))*$C182*E$172</f>
        <v>0</v>
      </c>
      <c r="F182" s="162">
        <f>((D124*(1-'5.Closing Stock &amp; W Capital'!$D$16))+(C124*'5.Closing Stock &amp; W Capital'!$D$16))*$C182*F$172</f>
        <v>0</v>
      </c>
      <c r="G182" s="162">
        <f>((E124*(1-'5.Closing Stock &amp; W Capital'!$D$16))+(D124*'5.Closing Stock &amp; W Capital'!$D$16))*$C182*G$172</f>
        <v>0</v>
      </c>
      <c r="H182" s="162">
        <f>((F124*(1-'5.Closing Stock &amp; W Capital'!$D$16))+(E124*'5.Closing Stock &amp; W Capital'!$D$16))*$C182*H$172</f>
        <v>0</v>
      </c>
      <c r="I182" s="162">
        <f>((G124*(1-'5.Closing Stock &amp; W Capital'!$D$16))+(F124*'5.Closing Stock &amp; W Capital'!$D$16))*$C182*I$172</f>
        <v>0</v>
      </c>
      <c r="J182" s="162">
        <f>((H124*(1-'5.Closing Stock &amp; W Capital'!$D$16))+(G124*'5.Closing Stock &amp; W Capital'!$D$16))*$C182*J$172</f>
        <v>0</v>
      </c>
      <c r="K182" s="79"/>
      <c r="L182" s="79"/>
    </row>
    <row r="183" spans="1:12">
      <c r="A183" s="80" t="str">
        <f t="shared" si="32"/>
        <v>Black Gram/Udid</v>
      </c>
      <c r="B183" s="80" t="s">
        <v>350</v>
      </c>
      <c r="C183" s="219">
        <v>6500</v>
      </c>
      <c r="D183" s="162">
        <f>(B125*(1-'5.Closing Stock &amp; W Capital'!$D$16))*$C183*D$172</f>
        <v>0</v>
      </c>
      <c r="E183" s="162">
        <f>((C125*(1-'5.Closing Stock &amp; W Capital'!$D$16))+(B125*'5.Closing Stock &amp; W Capital'!$D$16))*$C183*E$172</f>
        <v>0</v>
      </c>
      <c r="F183" s="162">
        <f>((D125*(1-'5.Closing Stock &amp; W Capital'!$D$16))+(C125*'5.Closing Stock &amp; W Capital'!$D$16))*$C183*F$172</f>
        <v>0</v>
      </c>
      <c r="G183" s="162">
        <f>((E125*(1-'5.Closing Stock &amp; W Capital'!$D$16))+(D125*'5.Closing Stock &amp; W Capital'!$D$16))*$C183*G$172</f>
        <v>0</v>
      </c>
      <c r="H183" s="162">
        <f>((F125*(1-'5.Closing Stock &amp; W Capital'!$D$16))+(E125*'5.Closing Stock &amp; W Capital'!$D$16))*$C183*H$172</f>
        <v>0</v>
      </c>
      <c r="I183" s="162">
        <f>((G125*(1-'5.Closing Stock &amp; W Capital'!$D$16))+(F125*'5.Closing Stock &amp; W Capital'!$D$16))*$C183*I$172</f>
        <v>0</v>
      </c>
      <c r="J183" s="162">
        <f>((H125*(1-'5.Closing Stock &amp; W Capital'!$D$16))+(G125*'5.Closing Stock &amp; W Capital'!$D$16))*$C183*J$172</f>
        <v>0</v>
      </c>
      <c r="K183" s="79"/>
      <c r="L183" s="79"/>
    </row>
    <row r="184" spans="1:12">
      <c r="A184" s="80" t="str">
        <f t="shared" si="32"/>
        <v>Bajra</v>
      </c>
      <c r="B184" s="80" t="s">
        <v>350</v>
      </c>
      <c r="C184" s="219">
        <v>2000</v>
      </c>
      <c r="D184" s="162">
        <f>(B126*(1-'5.Closing Stock &amp; W Capital'!$D$16))*$C184*D$172</f>
        <v>0</v>
      </c>
      <c r="E184" s="162">
        <f>((C126*(1-'5.Closing Stock &amp; W Capital'!$D$16))+(B126*'5.Closing Stock &amp; W Capital'!$D$16))*$C184*E$172</f>
        <v>0</v>
      </c>
      <c r="F184" s="162">
        <f>((D126*(1-'5.Closing Stock &amp; W Capital'!$D$16))+(C126*'5.Closing Stock &amp; W Capital'!$D$16))*$C184*F$172</f>
        <v>0</v>
      </c>
      <c r="G184" s="162">
        <f>((E126*(1-'5.Closing Stock &amp; W Capital'!$D$16))+(D126*'5.Closing Stock &amp; W Capital'!$D$16))*$C184*G$172</f>
        <v>0</v>
      </c>
      <c r="H184" s="162">
        <f>((F126*(1-'5.Closing Stock &amp; W Capital'!$D$16))+(E126*'5.Closing Stock &amp; W Capital'!$D$16))*$C184*H$172</f>
        <v>0</v>
      </c>
      <c r="I184" s="162">
        <f>((G126*(1-'5.Closing Stock &amp; W Capital'!$D$16))+(F126*'5.Closing Stock &amp; W Capital'!$D$16))*$C184*I$172</f>
        <v>0</v>
      </c>
      <c r="J184" s="162">
        <f>((H126*(1-'5.Closing Stock &amp; W Capital'!$D$16))+(G126*'5.Closing Stock &amp; W Capital'!$D$16))*$C184*J$172</f>
        <v>0</v>
      </c>
      <c r="K184" s="79"/>
      <c r="L184" s="79"/>
    </row>
    <row r="185" spans="1:12">
      <c r="A185" s="80" t="str">
        <f t="shared" si="32"/>
        <v>Jawar</v>
      </c>
      <c r="B185" s="80" t="s">
        <v>350</v>
      </c>
      <c r="C185" s="219"/>
      <c r="D185" s="162">
        <f>(B127*(1-'5.Closing Stock &amp; W Capital'!$D$16))*$C185*D$172</f>
        <v>0</v>
      </c>
      <c r="E185" s="162">
        <f>((C127*(1-'5.Closing Stock &amp; W Capital'!$D$16))+(B127*'5.Closing Stock &amp; W Capital'!$D$16))*$C185*E$172</f>
        <v>0</v>
      </c>
      <c r="F185" s="162">
        <f>((D127*(1-'5.Closing Stock &amp; W Capital'!$D$16))+(C127*'5.Closing Stock &amp; W Capital'!$D$16))*$C185*F$172</f>
        <v>0</v>
      </c>
      <c r="G185" s="162">
        <f>((E127*(1-'5.Closing Stock &amp; W Capital'!$D$16))+(D127*'5.Closing Stock &amp; W Capital'!$D$16))*$C185*G$172</f>
        <v>0</v>
      </c>
      <c r="H185" s="162">
        <f>((F127*(1-'5.Closing Stock &amp; W Capital'!$D$16))+(E127*'5.Closing Stock &amp; W Capital'!$D$16))*$C185*H$172</f>
        <v>0</v>
      </c>
      <c r="I185" s="162">
        <f>((G127*(1-'5.Closing Stock &amp; W Capital'!$D$16))+(F127*'5.Closing Stock &amp; W Capital'!$D$16))*$C185*I$172</f>
        <v>0</v>
      </c>
      <c r="J185" s="162">
        <f>((H127*(1-'5.Closing Stock &amp; W Capital'!$D$16))+(G127*'5.Closing Stock &amp; W Capital'!$D$16))*$C185*J$172</f>
        <v>0</v>
      </c>
      <c r="K185" s="79"/>
      <c r="L185" s="79"/>
    </row>
    <row r="186" spans="1:12">
      <c r="A186" s="80" t="str">
        <f t="shared" si="32"/>
        <v>Sunflower</v>
      </c>
      <c r="B186" s="80" t="s">
        <v>350</v>
      </c>
      <c r="C186" s="219"/>
      <c r="D186" s="162">
        <f>(B128*(1-'5.Closing Stock &amp; W Capital'!$D$16))*$C186*D$172</f>
        <v>0</v>
      </c>
      <c r="E186" s="162">
        <f>((C128*(1-'5.Closing Stock &amp; W Capital'!$D$16))+(B128*'5.Closing Stock &amp; W Capital'!$D$16))*$C186*E$172</f>
        <v>0</v>
      </c>
      <c r="F186" s="162">
        <f>((D128*(1-'5.Closing Stock &amp; W Capital'!$D$16))+(C128*'5.Closing Stock &amp; W Capital'!$D$16))*$C186*F$172</f>
        <v>0</v>
      </c>
      <c r="G186" s="162">
        <f>((E128*(1-'5.Closing Stock &amp; W Capital'!$D$16))+(D128*'5.Closing Stock &amp; W Capital'!$D$16))*$C186*G$172</f>
        <v>0</v>
      </c>
      <c r="H186" s="162">
        <f>((F128*(1-'5.Closing Stock &amp; W Capital'!$D$16))+(E128*'5.Closing Stock &amp; W Capital'!$D$16))*$C186*H$172</f>
        <v>0</v>
      </c>
      <c r="I186" s="162">
        <f>((G128*(1-'5.Closing Stock &amp; W Capital'!$D$16))+(F128*'5.Closing Stock &amp; W Capital'!$D$16))*$C186*I$172</f>
        <v>0</v>
      </c>
      <c r="J186" s="162">
        <f>((H128*(1-'5.Closing Stock &amp; W Capital'!$D$16))+(G128*'5.Closing Stock &amp; W Capital'!$D$16))*$C186*J$172</f>
        <v>0</v>
      </c>
      <c r="K186" s="79"/>
      <c r="L186" s="79"/>
    </row>
    <row r="187" spans="1:12">
      <c r="A187" s="80" t="str">
        <f t="shared" si="32"/>
        <v>Wheat</v>
      </c>
      <c r="B187" s="80" t="s">
        <v>350</v>
      </c>
      <c r="C187" s="219"/>
      <c r="D187" s="162">
        <f>(B129*(1-'5.Closing Stock &amp; W Capital'!$D$16))*$C187*D$172</f>
        <v>0</v>
      </c>
      <c r="E187" s="162">
        <f>((C129*(1-'5.Closing Stock &amp; W Capital'!$D$16))+(B129*'5.Closing Stock &amp; W Capital'!$D$16))*$C187*E$172</f>
        <v>0</v>
      </c>
      <c r="F187" s="162">
        <f>((D129*(1-'5.Closing Stock &amp; W Capital'!$D$16))+(C129*'5.Closing Stock &amp; W Capital'!$D$16))*$C187*F$172</f>
        <v>0</v>
      </c>
      <c r="G187" s="162">
        <f>((E129*(1-'5.Closing Stock &amp; W Capital'!$D$16))+(D129*'5.Closing Stock &amp; W Capital'!$D$16))*$C187*G$172</f>
        <v>0</v>
      </c>
      <c r="H187" s="162">
        <f>((F129*(1-'5.Closing Stock &amp; W Capital'!$D$16))+(E129*'5.Closing Stock &amp; W Capital'!$D$16))*$C187*H$172</f>
        <v>0</v>
      </c>
      <c r="I187" s="162">
        <f>((G129*(1-'5.Closing Stock &amp; W Capital'!$D$16))+(F129*'5.Closing Stock &amp; W Capital'!$D$16))*$C187*I$172</f>
        <v>0</v>
      </c>
      <c r="J187" s="162">
        <f>((H129*(1-'5.Closing Stock &amp; W Capital'!$D$16))+(G129*'5.Closing Stock &amp; W Capital'!$D$16))*$C187*J$172</f>
        <v>0</v>
      </c>
      <c r="K187" s="79"/>
      <c r="L187" s="79"/>
    </row>
    <row r="188" spans="1:12">
      <c r="A188" s="80" t="str">
        <f t="shared" si="32"/>
        <v>Bengal Gram/Channa</v>
      </c>
      <c r="B188" s="80" t="s">
        <v>350</v>
      </c>
      <c r="C188" s="219">
        <v>5000</v>
      </c>
      <c r="D188" s="162">
        <f>(B130*(1-'5.Closing Stock &amp; W Capital'!$D$16))*$C188*D$172</f>
        <v>0</v>
      </c>
      <c r="E188" s="162">
        <f>((C130*(1-'5.Closing Stock &amp; W Capital'!$D$16))+(B130*'5.Closing Stock &amp; W Capital'!$D$16))*$C188*E$172</f>
        <v>0</v>
      </c>
      <c r="F188" s="162">
        <f>((D130*(1-'5.Closing Stock &amp; W Capital'!$D$16))+(C130*'5.Closing Stock &amp; W Capital'!$D$16))*$C188*F$172</f>
        <v>0</v>
      </c>
      <c r="G188" s="162">
        <f>((E130*(1-'5.Closing Stock &amp; W Capital'!$D$16))+(D130*'5.Closing Stock &amp; W Capital'!$D$16))*$C188*G$172</f>
        <v>0</v>
      </c>
      <c r="H188" s="162">
        <f>((F130*(1-'5.Closing Stock &amp; W Capital'!$D$16))+(E130*'5.Closing Stock &amp; W Capital'!$D$16))*$C188*H$172</f>
        <v>0</v>
      </c>
      <c r="I188" s="162">
        <f>((G130*(1-'5.Closing Stock &amp; W Capital'!$D$16))+(F130*'5.Closing Stock &amp; W Capital'!$D$16))*$C188*I$172</f>
        <v>0</v>
      </c>
      <c r="J188" s="162">
        <f>((H130*(1-'5.Closing Stock &amp; W Capital'!$D$16))+(G130*'5.Closing Stock &amp; W Capital'!$D$16))*$C188*J$172</f>
        <v>0</v>
      </c>
      <c r="K188" s="79"/>
      <c r="L188" s="79"/>
    </row>
    <row r="189" spans="1:12">
      <c r="A189" s="80" t="str">
        <f t="shared" si="32"/>
        <v>Jawar</v>
      </c>
      <c r="B189" s="80" t="s">
        <v>350</v>
      </c>
      <c r="C189" s="219"/>
      <c r="D189" s="162">
        <f>(B131*(1-'5.Closing Stock &amp; W Capital'!$D$16))*$C189*D$172</f>
        <v>0</v>
      </c>
      <c r="E189" s="162">
        <f>((C131*(1-'5.Closing Stock &amp; W Capital'!$D$16))+(B131*'5.Closing Stock &amp; W Capital'!$D$16))*$C189*E$172</f>
        <v>0</v>
      </c>
      <c r="F189" s="162">
        <f>((D131*(1-'5.Closing Stock &amp; W Capital'!$D$16))+(C131*'5.Closing Stock &amp; W Capital'!$D$16))*$C189*F$172</f>
        <v>0</v>
      </c>
      <c r="G189" s="162">
        <f>((E131*(1-'5.Closing Stock &amp; W Capital'!$D$16))+(D131*'5.Closing Stock &amp; W Capital'!$D$16))*$C189*G$172</f>
        <v>0</v>
      </c>
      <c r="H189" s="162">
        <f>((F131*(1-'5.Closing Stock &amp; W Capital'!$D$16))+(E131*'5.Closing Stock &amp; W Capital'!$D$16))*$C189*H$172</f>
        <v>0</v>
      </c>
      <c r="I189" s="162">
        <f>((G131*(1-'5.Closing Stock &amp; W Capital'!$D$16))+(F131*'5.Closing Stock &amp; W Capital'!$D$16))*$C189*I$172</f>
        <v>0</v>
      </c>
      <c r="J189" s="162">
        <f>((H131*(1-'5.Closing Stock &amp; W Capital'!$D$16))+(G131*'5.Closing Stock &amp; W Capital'!$D$16))*$C189*J$172</f>
        <v>0</v>
      </c>
      <c r="K189" s="79"/>
      <c r="L189" s="79"/>
    </row>
    <row r="190" spans="1:12">
      <c r="A190" s="80" t="str">
        <f t="shared" si="32"/>
        <v>Maize</v>
      </c>
      <c r="B190" s="80" t="s">
        <v>350</v>
      </c>
      <c r="C190" s="219"/>
      <c r="D190" s="162">
        <f>(B132*(1-'5.Closing Stock &amp; W Capital'!$D$16))*$C190*D$172</f>
        <v>0</v>
      </c>
      <c r="E190" s="162">
        <f>((C132*(1-'5.Closing Stock &amp; W Capital'!$D$16))+(B132*'5.Closing Stock &amp; W Capital'!$D$16))*$C190*E$172</f>
        <v>0</v>
      </c>
      <c r="F190" s="162">
        <f>((D132*(1-'5.Closing Stock &amp; W Capital'!$D$16))+(C132*'5.Closing Stock &amp; W Capital'!$D$16))*$C190*F$172</f>
        <v>0</v>
      </c>
      <c r="G190" s="162">
        <f>((E132*(1-'5.Closing Stock &amp; W Capital'!$D$16))+(D132*'5.Closing Stock &amp; W Capital'!$D$16))*$C190*G$172</f>
        <v>0</v>
      </c>
      <c r="H190" s="162">
        <f>((F132*(1-'5.Closing Stock &amp; W Capital'!$D$16))+(E132*'5.Closing Stock &amp; W Capital'!$D$16))*$C190*H$172</f>
        <v>0</v>
      </c>
      <c r="I190" s="162">
        <f>((G132*(1-'5.Closing Stock &amp; W Capital'!$D$16))+(F132*'5.Closing Stock &amp; W Capital'!$D$16))*$C190*I$172</f>
        <v>0</v>
      </c>
      <c r="J190" s="162">
        <f>((H132*(1-'5.Closing Stock &amp; W Capital'!$D$16))+(G132*'5.Closing Stock &amp; W Capital'!$D$16))*$C190*J$172</f>
        <v>0</v>
      </c>
      <c r="K190" s="79"/>
      <c r="L190" s="79"/>
    </row>
    <row r="191" spans="1:12">
      <c r="A191" s="80" t="str">
        <f t="shared" si="32"/>
        <v>Safflower</v>
      </c>
      <c r="B191" s="80" t="s">
        <v>350</v>
      </c>
      <c r="C191" s="219"/>
      <c r="D191" s="162">
        <f>(B133*(1-'5.Closing Stock &amp; W Capital'!$D$16))*$C191*D$172</f>
        <v>0</v>
      </c>
      <c r="E191" s="162">
        <f>((C133*(1-'5.Closing Stock &amp; W Capital'!$D$16))+(B133*'5.Closing Stock &amp; W Capital'!$D$16))*$C191*E$172</f>
        <v>0</v>
      </c>
      <c r="F191" s="162">
        <f>((D133*(1-'5.Closing Stock &amp; W Capital'!$D$16))+(C133*'5.Closing Stock &amp; W Capital'!$D$16))*$C191*F$172</f>
        <v>0</v>
      </c>
      <c r="G191" s="162">
        <f>((E133*(1-'5.Closing Stock &amp; W Capital'!$D$16))+(D133*'5.Closing Stock &amp; W Capital'!$D$16))*$C191*G$172</f>
        <v>0</v>
      </c>
      <c r="H191" s="162">
        <f>((F133*(1-'5.Closing Stock &amp; W Capital'!$D$16))+(E133*'5.Closing Stock &amp; W Capital'!$D$16))*$C191*H$172</f>
        <v>0</v>
      </c>
      <c r="I191" s="162">
        <f>((G133*(1-'5.Closing Stock &amp; W Capital'!$D$16))+(F133*'5.Closing Stock &amp; W Capital'!$D$16))*$C191*I$172</f>
        <v>0</v>
      </c>
      <c r="J191" s="162">
        <f>((H133*(1-'5.Closing Stock &amp; W Capital'!$D$16))+(G133*'5.Closing Stock &amp; W Capital'!$D$16))*$C191*J$172</f>
        <v>0</v>
      </c>
      <c r="K191" s="79"/>
      <c r="L191" s="79"/>
    </row>
    <row r="192" spans="1:12">
      <c r="A192" s="80">
        <f t="shared" si="32"/>
        <v>0</v>
      </c>
      <c r="B192" s="80" t="s">
        <v>350</v>
      </c>
      <c r="C192" s="219"/>
      <c r="D192" s="162">
        <f>(B134*(1-'5.Closing Stock &amp; W Capital'!$D$16))*$C192*D$172</f>
        <v>0</v>
      </c>
      <c r="E192" s="162">
        <f>((C134*(1-'5.Closing Stock &amp; W Capital'!$D$16))+(B134*'5.Closing Stock &amp; W Capital'!$D$16))*$C192*E$172</f>
        <v>0</v>
      </c>
      <c r="F192" s="162">
        <f>((D134*(1-'5.Closing Stock &amp; W Capital'!$D$16))+(C134*'5.Closing Stock &amp; W Capital'!$D$16))*$C192*F$172</f>
        <v>0</v>
      </c>
      <c r="G192" s="162">
        <f>((E134*(1-'5.Closing Stock &amp; W Capital'!$D$16))+(D134*'5.Closing Stock &amp; W Capital'!$D$16))*$C192*G$172</f>
        <v>0</v>
      </c>
      <c r="H192" s="162">
        <f>((F134*(1-'5.Closing Stock &amp; W Capital'!$D$16))+(E134*'5.Closing Stock &amp; W Capital'!$D$16))*$C192*H$172</f>
        <v>0</v>
      </c>
      <c r="I192" s="162">
        <f>((G134*(1-'5.Closing Stock &amp; W Capital'!$D$16))+(F134*'5.Closing Stock &amp; W Capital'!$D$16))*$C192*I$172</f>
        <v>0</v>
      </c>
      <c r="J192" s="162">
        <f>((H134*(1-'5.Closing Stock &amp; W Capital'!$D$16))+(G134*'5.Closing Stock &amp; W Capital'!$D$16))*$C192*J$172</f>
        <v>0</v>
      </c>
      <c r="K192" s="79"/>
      <c r="L192" s="79"/>
    </row>
    <row r="193" spans="1:12">
      <c r="A193" s="80">
        <f t="shared" si="32"/>
        <v>0</v>
      </c>
      <c r="B193" s="80" t="s">
        <v>350</v>
      </c>
      <c r="C193" s="219"/>
      <c r="D193" s="162">
        <f>(B135*(1-'5.Closing Stock &amp; W Capital'!$D$16))*$C193*D$172</f>
        <v>0</v>
      </c>
      <c r="E193" s="162">
        <f>((C135*(1-'5.Closing Stock &amp; W Capital'!$D$16))+(B135*'5.Closing Stock &amp; W Capital'!$D$16))*$C193*E$172</f>
        <v>0</v>
      </c>
      <c r="F193" s="162">
        <f>((D135*(1-'5.Closing Stock &amp; W Capital'!$D$16))+(C135*'5.Closing Stock &amp; W Capital'!$D$16))*$C193*F$172</f>
        <v>0</v>
      </c>
      <c r="G193" s="162">
        <f>((E135*(1-'5.Closing Stock &amp; W Capital'!$D$16))+(D135*'5.Closing Stock &amp; W Capital'!$D$16))*$C193*G$172</f>
        <v>0</v>
      </c>
      <c r="H193" s="162">
        <f>((F135*(1-'5.Closing Stock &amp; W Capital'!$D$16))+(E135*'5.Closing Stock &amp; W Capital'!$D$16))*$C193*H$172</f>
        <v>0</v>
      </c>
      <c r="I193" s="162">
        <f>((G135*(1-'5.Closing Stock &amp; W Capital'!$D$16))+(F135*'5.Closing Stock &amp; W Capital'!$D$16))*$C193*I$172</f>
        <v>0</v>
      </c>
      <c r="J193" s="162">
        <f>((H135*(1-'5.Closing Stock &amp; W Capital'!$D$16))+(G135*'5.Closing Stock &amp; W Capital'!$D$16))*$C193*J$172</f>
        <v>0</v>
      </c>
      <c r="K193" s="79"/>
      <c r="L193" s="79"/>
    </row>
    <row r="194" spans="1:12">
      <c r="A194" s="80">
        <f t="shared" si="32"/>
        <v>0</v>
      </c>
      <c r="B194" s="80" t="s">
        <v>350</v>
      </c>
      <c r="C194" s="219"/>
      <c r="D194" s="162">
        <f>(B136*(1-'5.Closing Stock &amp; W Capital'!$D$16))*$C194*D$172</f>
        <v>0</v>
      </c>
      <c r="E194" s="162">
        <f>((C136*(1-'5.Closing Stock &amp; W Capital'!$D$16))+(B136*'5.Closing Stock &amp; W Capital'!$D$16))*$C194*E$172</f>
        <v>0</v>
      </c>
      <c r="F194" s="162">
        <f>((D136*(1-'5.Closing Stock &amp; W Capital'!$D$16))+(C136*'5.Closing Stock &amp; W Capital'!$D$16))*$C194*F$172</f>
        <v>0</v>
      </c>
      <c r="G194" s="162">
        <f>((E136*(1-'5.Closing Stock &amp; W Capital'!$D$16))+(D136*'5.Closing Stock &amp; W Capital'!$D$16))*$C194*G$172</f>
        <v>0</v>
      </c>
      <c r="H194" s="162">
        <f>((F136*(1-'5.Closing Stock &amp; W Capital'!$D$16))+(E136*'5.Closing Stock &amp; W Capital'!$D$16))*$C194*H$172</f>
        <v>0</v>
      </c>
      <c r="I194" s="162">
        <f>((G136*(1-'5.Closing Stock &amp; W Capital'!$D$16))+(F136*'5.Closing Stock &amp; W Capital'!$D$16))*$C194*I$172</f>
        <v>0</v>
      </c>
      <c r="J194" s="162">
        <f>((H136*(1-'5.Closing Stock &amp; W Capital'!$D$16))+(G136*'5.Closing Stock &amp; W Capital'!$D$16))*$C194*J$172</f>
        <v>0</v>
      </c>
      <c r="K194" s="79"/>
      <c r="L194" s="79"/>
    </row>
    <row r="195" spans="1:12">
      <c r="A195" s="80" t="str">
        <f t="shared" si="32"/>
        <v>Groundnut</v>
      </c>
      <c r="B195" s="80" t="s">
        <v>350</v>
      </c>
      <c r="C195" s="219"/>
      <c r="D195" s="162">
        <f>(B137*(1-'5.Closing Stock &amp; W Capital'!$D$16))*$C195*D$172</f>
        <v>0</v>
      </c>
      <c r="E195" s="162">
        <f>((C137*(1-'5.Closing Stock &amp; W Capital'!$D$16))+(B137*'5.Closing Stock &amp; W Capital'!$D$16))*$C195*E$172</f>
        <v>0</v>
      </c>
      <c r="F195" s="162">
        <f>((D137*(1-'5.Closing Stock &amp; W Capital'!$D$16))+(C137*'5.Closing Stock &amp; W Capital'!$D$16))*$C195*F$172</f>
        <v>0</v>
      </c>
      <c r="G195" s="162">
        <f>((E137*(1-'5.Closing Stock &amp; W Capital'!$D$16))+(D137*'5.Closing Stock &amp; W Capital'!$D$16))*$C195*G$172</f>
        <v>0</v>
      </c>
      <c r="H195" s="162">
        <f>((F137*(1-'5.Closing Stock &amp; W Capital'!$D$16))+(E137*'5.Closing Stock &amp; W Capital'!$D$16))*$C195*H$172</f>
        <v>0</v>
      </c>
      <c r="I195" s="162">
        <f>((G137*(1-'5.Closing Stock &amp; W Capital'!$D$16))+(F137*'5.Closing Stock &amp; W Capital'!$D$16))*$C195*I$172</f>
        <v>0</v>
      </c>
      <c r="J195" s="162">
        <f>((H137*(1-'5.Closing Stock &amp; W Capital'!$D$16))+(G137*'5.Closing Stock &amp; W Capital'!$D$16))*$C195*J$172</f>
        <v>0</v>
      </c>
      <c r="K195" s="79"/>
      <c r="L195" s="79"/>
    </row>
    <row r="196" spans="1:12">
      <c r="A196" s="80">
        <f t="shared" si="32"/>
        <v>0</v>
      </c>
      <c r="B196" s="80" t="s">
        <v>350</v>
      </c>
      <c r="C196" s="219"/>
      <c r="D196" s="162">
        <f>(B138*(1-'5.Closing Stock &amp; W Capital'!$D$16))*$C196*D$172</f>
        <v>0</v>
      </c>
      <c r="E196" s="162">
        <f>((C138*(1-'5.Closing Stock &amp; W Capital'!$D$16))+(B138*'5.Closing Stock &amp; W Capital'!$D$16))*$C196*E$172</f>
        <v>0</v>
      </c>
      <c r="F196" s="162">
        <f>((D138*(1-'5.Closing Stock &amp; W Capital'!$D$16))+(C138*'5.Closing Stock &amp; W Capital'!$D$16))*$C196*F$172</f>
        <v>0</v>
      </c>
      <c r="G196" s="162">
        <f>((E138*(1-'5.Closing Stock &amp; W Capital'!$D$16))+(D138*'5.Closing Stock &amp; W Capital'!$D$16))*$C196*G$172</f>
        <v>0</v>
      </c>
      <c r="H196" s="162">
        <f>((F138*(1-'5.Closing Stock &amp; W Capital'!$D$16))+(E138*'5.Closing Stock &amp; W Capital'!$D$16))*$C196*H$172</f>
        <v>0</v>
      </c>
      <c r="I196" s="162">
        <f>((G138*(1-'5.Closing Stock &amp; W Capital'!$D$16))+(F138*'5.Closing Stock &amp; W Capital'!$D$16))*$C196*I$172</f>
        <v>0</v>
      </c>
      <c r="J196" s="162">
        <f>((H138*(1-'5.Closing Stock &amp; W Capital'!$D$16))+(G138*'5.Closing Stock &amp; W Capital'!$D$16))*$C196*J$172</f>
        <v>0</v>
      </c>
      <c r="K196" s="79"/>
      <c r="L196" s="79"/>
    </row>
    <row r="197" spans="1:12">
      <c r="A197" s="80">
        <f t="shared" si="32"/>
        <v>0</v>
      </c>
      <c r="B197" s="80" t="s">
        <v>350</v>
      </c>
      <c r="C197" s="219"/>
      <c r="D197" s="162">
        <f>(B139*(1-'5.Closing Stock &amp; W Capital'!$D$16))*$C197*D$172</f>
        <v>0</v>
      </c>
      <c r="E197" s="162">
        <f>((C139*(1-'5.Closing Stock &amp; W Capital'!$D$16))+(B139*'5.Closing Stock &amp; W Capital'!$D$16))*$C197*E$172</f>
        <v>0</v>
      </c>
      <c r="F197" s="162">
        <f>((D139*(1-'5.Closing Stock &amp; W Capital'!$D$16))+(C139*'5.Closing Stock &amp; W Capital'!$D$16))*$C197*F$172</f>
        <v>0</v>
      </c>
      <c r="G197" s="162">
        <f>((E139*(1-'5.Closing Stock &amp; W Capital'!$D$16))+(D139*'5.Closing Stock &amp; W Capital'!$D$16))*$C197*G$172</f>
        <v>0</v>
      </c>
      <c r="H197" s="162">
        <f>((F139*(1-'5.Closing Stock &amp; W Capital'!$D$16))+(E139*'5.Closing Stock &amp; W Capital'!$D$16))*$C197*H$172</f>
        <v>0</v>
      </c>
      <c r="I197" s="162">
        <f>((G139*(1-'5.Closing Stock &amp; W Capital'!$D$16))+(F139*'5.Closing Stock &amp; W Capital'!$D$16))*$C197*I$172</f>
        <v>0</v>
      </c>
      <c r="J197" s="162">
        <f>((H139*(1-'5.Closing Stock &amp; W Capital'!$D$16))+(G139*'5.Closing Stock &amp; W Capital'!$D$16))*$C197*J$172</f>
        <v>0</v>
      </c>
      <c r="K197" s="79"/>
      <c r="L197" s="79"/>
    </row>
    <row r="198" spans="1:12">
      <c r="A198" s="80">
        <f t="shared" si="32"/>
        <v>0</v>
      </c>
      <c r="B198" s="80" t="s">
        <v>350</v>
      </c>
      <c r="C198" s="219"/>
      <c r="D198" s="162">
        <f>(B140*(1-'5.Closing Stock &amp; W Capital'!$D$16))*$C198*D$172</f>
        <v>0</v>
      </c>
      <c r="E198" s="162">
        <f>((C140*(1-'5.Closing Stock &amp; W Capital'!$D$16))+(B140*'5.Closing Stock &amp; W Capital'!$D$16))*$C198*E$172</f>
        <v>0</v>
      </c>
      <c r="F198" s="162">
        <f>((D140*(1-'5.Closing Stock &amp; W Capital'!$D$16))+(C140*'5.Closing Stock &amp; W Capital'!$D$16))*$C198*F$172</f>
        <v>0</v>
      </c>
      <c r="G198" s="162">
        <f>((E140*(1-'5.Closing Stock &amp; W Capital'!$D$16))+(D140*'5.Closing Stock &amp; W Capital'!$D$16))*$C198*G$172</f>
        <v>0</v>
      </c>
      <c r="H198" s="162">
        <f>((F140*(1-'5.Closing Stock &amp; W Capital'!$D$16))+(E140*'5.Closing Stock &amp; W Capital'!$D$16))*$C198*H$172</f>
        <v>0</v>
      </c>
      <c r="I198" s="162">
        <f>((G140*(1-'5.Closing Stock &amp; W Capital'!$D$16))+(F140*'5.Closing Stock &amp; W Capital'!$D$16))*$C198*I$172</f>
        <v>0</v>
      </c>
      <c r="J198" s="162">
        <f>((H140*(1-'5.Closing Stock &amp; W Capital'!$D$16))+(G140*'5.Closing Stock &amp; W Capital'!$D$16))*$C198*J$172</f>
        <v>0</v>
      </c>
      <c r="K198" s="79"/>
      <c r="L198" s="79"/>
    </row>
    <row r="199" spans="1:12">
      <c r="A199" s="80"/>
      <c r="B199" s="80" t="s">
        <v>350</v>
      </c>
      <c r="C199" s="219"/>
      <c r="D199" s="162">
        <f>(B141*(1-'5.Closing Stock &amp; W Capital'!$D$16))*$C199*D$172</f>
        <v>0</v>
      </c>
      <c r="E199" s="162">
        <f>((C141*(1-'5.Closing Stock &amp; W Capital'!$D$16))+(B141*'5.Closing Stock &amp; W Capital'!$D$16))*$C199*E$172</f>
        <v>0</v>
      </c>
      <c r="F199" s="162">
        <f>((D141*(1-'5.Closing Stock &amp; W Capital'!$D$16))+(C141*'5.Closing Stock &amp; W Capital'!$D$16))*$C199*F$172</f>
        <v>0</v>
      </c>
      <c r="G199" s="162">
        <f>((E141*(1-'5.Closing Stock &amp; W Capital'!$D$16))+(D141*'5.Closing Stock &amp; W Capital'!$D$16))*$C199*G$172</f>
        <v>0</v>
      </c>
      <c r="H199" s="162">
        <f>((F141*(1-'5.Closing Stock &amp; W Capital'!$D$16))+(E141*'5.Closing Stock &amp; W Capital'!$D$16))*$C199*H$172</f>
        <v>0</v>
      </c>
      <c r="I199" s="162">
        <f>((G141*(1-'5.Closing Stock &amp; W Capital'!$D$16))+(F141*'5.Closing Stock &amp; W Capital'!$D$16))*$C199*I$172</f>
        <v>0</v>
      </c>
      <c r="J199" s="162">
        <f>((H141*(1-'5.Closing Stock &amp; W Capital'!$D$16))+(G141*'5.Closing Stock &amp; W Capital'!$D$16))*$C199*J$172</f>
        <v>0</v>
      </c>
      <c r="K199" s="79"/>
      <c r="L199" s="79"/>
    </row>
    <row r="200" spans="1:12">
      <c r="A200" s="82" t="s">
        <v>284</v>
      </c>
      <c r="B200" s="80" t="s">
        <v>350</v>
      </c>
      <c r="C200" s="197">
        <v>50</v>
      </c>
      <c r="D200" s="162">
        <f t="shared" ref="D200:J200" si="33">B65*$C$200*D172</f>
        <v>0</v>
      </c>
      <c r="E200" s="162">
        <f t="shared" si="33"/>
        <v>0</v>
      </c>
      <c r="F200" s="162">
        <f t="shared" si="33"/>
        <v>0</v>
      </c>
      <c r="G200" s="162">
        <f t="shared" si="33"/>
        <v>0</v>
      </c>
      <c r="H200" s="162">
        <f t="shared" si="33"/>
        <v>0</v>
      </c>
      <c r="I200" s="162">
        <f t="shared" si="33"/>
        <v>0</v>
      </c>
      <c r="J200" s="162">
        <f t="shared" si="33"/>
        <v>0</v>
      </c>
      <c r="K200" s="79"/>
      <c r="L200" s="79"/>
    </row>
    <row r="201" spans="1:12">
      <c r="A201" s="82"/>
      <c r="B201" s="82"/>
      <c r="C201" s="82"/>
      <c r="D201" s="80"/>
      <c r="E201" s="80"/>
      <c r="F201" s="80"/>
      <c r="G201" s="80"/>
      <c r="H201" s="80"/>
      <c r="I201" s="80"/>
      <c r="J201" s="80"/>
      <c r="K201" s="79"/>
      <c r="L201" s="79"/>
    </row>
    <row r="202" spans="1:12">
      <c r="A202" s="82" t="str">
        <f t="shared" ref="A202:A220" si="34">A143</f>
        <v>Grain Crop Production Details</v>
      </c>
      <c r="B202" s="82"/>
      <c r="C202" s="82"/>
      <c r="D202" s="80"/>
      <c r="E202" s="80"/>
      <c r="F202" s="80"/>
      <c r="G202" s="80"/>
      <c r="H202" s="80"/>
      <c r="I202" s="80"/>
      <c r="J202" s="80"/>
      <c r="K202" s="79"/>
      <c r="L202" s="79"/>
    </row>
    <row r="203" spans="1:12">
      <c r="A203" s="82" t="str">
        <f t="shared" si="34"/>
        <v>Paddy</v>
      </c>
      <c r="B203" s="80" t="s">
        <v>350</v>
      </c>
      <c r="C203" s="297">
        <v>2000</v>
      </c>
      <c r="D203" s="162">
        <f>(B144*(1-'5.Closing Stock &amp; W Capital'!$D$16))*$C203*D$172</f>
        <v>-95760000</v>
      </c>
      <c r="E203" s="162">
        <f>((C144*(1-'5.Closing Stock &amp; W Capital'!$D$16))+(B144*'5.Closing Stock &amp; W Capital'!$D$16))*$C203*E$172</f>
        <v>-2872800.0000000154</v>
      </c>
      <c r="F203" s="162">
        <f>((D144*(1-'5.Closing Stock &amp; W Capital'!$D$16))+(C144*'5.Closing Stock &amp; W Capital'!$D$16))*$C203*F$172</f>
        <v>-2262330.0000000158</v>
      </c>
      <c r="G203" s="162">
        <f>((E144*(1-'5.Closing Stock &amp; W Capital'!$D$16))+(D144*'5.Closing Stock &amp; W Capital'!$D$16))*$C203*G$172</f>
        <v>-1583631.0000000002</v>
      </c>
      <c r="H203" s="162">
        <f>((F144*(1-'5.Closing Stock &amp; W Capital'!$D$16))+(E144*'5.Closing Stock &amp; W Capital'!$D$16))*$C203*H$172</f>
        <v>-831406.27500000014</v>
      </c>
      <c r="I203" s="162">
        <f>((G144*(1-'5.Closing Stock &amp; W Capital'!$D$16))+(F144*'5.Closing Stock &amp; W Capital'!$D$16))*$C203*I$172</f>
        <v>-3.7144682210055188E-8</v>
      </c>
      <c r="J203" s="162">
        <f>((H144*(1-'5.Closing Stock &amp; W Capital'!$D$16))+(G144*'5.Closing Stock &amp; W Capital'!$D$16))*$C203*J$172</f>
        <v>916625.41818750033</v>
      </c>
      <c r="K203" s="79"/>
      <c r="L203" s="79"/>
    </row>
    <row r="204" spans="1:12">
      <c r="A204" s="82" t="e">
        <f t="shared" si="34"/>
        <v>#REF!</v>
      </c>
      <c r="B204" s="80" t="s">
        <v>350</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350</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v>
      </c>
      <c r="B206" s="80" t="s">
        <v>350</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350</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350</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350</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350</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350</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350</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350</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350</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350</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350</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350</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350</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350</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350</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350</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350</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350</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350</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350</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350</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350</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302</v>
      </c>
      <c r="B232" s="82"/>
      <c r="C232" s="80"/>
      <c r="D232" s="80"/>
      <c r="E232" s="80"/>
      <c r="F232" s="80"/>
      <c r="G232" s="80"/>
      <c r="H232" s="80"/>
      <c r="I232" s="80"/>
      <c r="J232" s="80"/>
      <c r="K232" s="79"/>
      <c r="L232" s="79"/>
    </row>
    <row r="233" spans="1:12">
      <c r="A233" s="80" t="str">
        <f t="shared" ref="A233:A254" si="38">A178</f>
        <v>Soybean</v>
      </c>
      <c r="B233" s="80" t="s">
        <v>350</v>
      </c>
      <c r="C233" s="215">
        <v>3800</v>
      </c>
      <c r="D233" s="81">
        <f>B68*$C$233*D$172</f>
        <v>0</v>
      </c>
      <c r="E233" s="81">
        <f>C68*$C$233*E$172</f>
        <v>0</v>
      </c>
      <c r="F233" s="81">
        <f>D68*$C$233*F172</f>
        <v>0</v>
      </c>
      <c r="G233" s="81">
        <f>E68*$C$233*G172</f>
        <v>0</v>
      </c>
      <c r="H233" s="81">
        <f>F68*$C$233*H172</f>
        <v>0</v>
      </c>
      <c r="I233" s="81">
        <f>G68*$C$233*I172</f>
        <v>0</v>
      </c>
      <c r="J233" s="81">
        <f>H68*$C$233*J172</f>
        <v>0</v>
      </c>
      <c r="K233" s="79"/>
      <c r="L233" s="79"/>
    </row>
    <row r="234" spans="1:12">
      <c r="A234" s="80" t="str">
        <f t="shared" si="38"/>
        <v>Red Gram/Tur</v>
      </c>
      <c r="B234" s="80" t="s">
        <v>350</v>
      </c>
      <c r="C234" s="215">
        <v>5800</v>
      </c>
      <c r="D234" s="81">
        <f>B69*$C$234*D$172</f>
        <v>0</v>
      </c>
      <c r="E234" s="81">
        <f t="shared" ref="E234:J234" si="39">C69*$C$234*E172</f>
        <v>0</v>
      </c>
      <c r="F234" s="81">
        <f t="shared" si="39"/>
        <v>0</v>
      </c>
      <c r="G234" s="81">
        <f t="shared" si="39"/>
        <v>0</v>
      </c>
      <c r="H234" s="81">
        <f t="shared" si="39"/>
        <v>0</v>
      </c>
      <c r="I234" s="81">
        <f t="shared" si="39"/>
        <v>0</v>
      </c>
      <c r="J234" s="81">
        <f t="shared" si="39"/>
        <v>0</v>
      </c>
      <c r="K234" s="79"/>
      <c r="L234" s="79"/>
    </row>
    <row r="235" spans="1:12">
      <c r="A235" s="80" t="str">
        <f t="shared" si="38"/>
        <v>Paddy/Rice</v>
      </c>
      <c r="B235" s="80" t="s">
        <v>350</v>
      </c>
      <c r="C235" s="215"/>
      <c r="D235" s="81">
        <f>B70*$C$235*D$172</f>
        <v>0</v>
      </c>
      <c r="E235" s="81">
        <f t="shared" ref="E235:J235" si="40">C70*$C$235*E172</f>
        <v>0</v>
      </c>
      <c r="F235" s="81">
        <f t="shared" si="40"/>
        <v>0</v>
      </c>
      <c r="G235" s="81">
        <f t="shared" si="40"/>
        <v>0</v>
      </c>
      <c r="H235" s="81">
        <f t="shared" si="40"/>
        <v>0</v>
      </c>
      <c r="I235" s="81">
        <f t="shared" si="40"/>
        <v>0</v>
      </c>
      <c r="J235" s="81">
        <f t="shared" si="40"/>
        <v>0</v>
      </c>
      <c r="K235" s="79"/>
      <c r="L235" s="79"/>
    </row>
    <row r="236" spans="1:12">
      <c r="A236" s="80" t="str">
        <f t="shared" si="38"/>
        <v>Green Gram/ Moong</v>
      </c>
      <c r="B236" s="80" t="s">
        <v>350</v>
      </c>
      <c r="C236" s="215">
        <v>5800</v>
      </c>
      <c r="D236" s="81">
        <f t="shared" ref="D236:J236" si="41">B71*$C$236*D$172</f>
        <v>0</v>
      </c>
      <c r="E236" s="81">
        <f t="shared" si="41"/>
        <v>0</v>
      </c>
      <c r="F236" s="81">
        <f t="shared" si="41"/>
        <v>0</v>
      </c>
      <c r="G236" s="81">
        <f t="shared" si="41"/>
        <v>0</v>
      </c>
      <c r="H236" s="81">
        <f t="shared" si="41"/>
        <v>0</v>
      </c>
      <c r="I236" s="81">
        <f t="shared" si="41"/>
        <v>0</v>
      </c>
      <c r="J236" s="81">
        <f t="shared" si="41"/>
        <v>0</v>
      </c>
      <c r="K236" s="79"/>
      <c r="L236" s="79"/>
    </row>
    <row r="237" spans="1:12">
      <c r="A237" s="80" t="str">
        <f t="shared" si="38"/>
        <v>Maize</v>
      </c>
      <c r="B237" s="80" t="s">
        <v>350</v>
      </c>
      <c r="C237" s="215"/>
      <c r="D237" s="81">
        <f t="shared" ref="D237:J237" si="42">B72*$C$237*D$172</f>
        <v>0</v>
      </c>
      <c r="E237" s="81">
        <f t="shared" si="42"/>
        <v>0</v>
      </c>
      <c r="F237" s="81">
        <f t="shared" si="42"/>
        <v>0</v>
      </c>
      <c r="G237" s="81">
        <f t="shared" si="42"/>
        <v>0</v>
      </c>
      <c r="H237" s="81">
        <f t="shared" si="42"/>
        <v>0</v>
      </c>
      <c r="I237" s="81">
        <f t="shared" si="42"/>
        <v>0</v>
      </c>
      <c r="J237" s="81">
        <f t="shared" si="42"/>
        <v>0</v>
      </c>
      <c r="K237" s="79"/>
      <c r="L237" s="79"/>
    </row>
    <row r="238" spans="1:12">
      <c r="A238" s="80" t="str">
        <f t="shared" si="38"/>
        <v>Black Gram/Udid</v>
      </c>
      <c r="B238" s="80" t="s">
        <v>350</v>
      </c>
      <c r="C238" s="215">
        <v>6300</v>
      </c>
      <c r="D238" s="81">
        <f t="shared" ref="D238:J238" si="43">B73*$C$238*D$172</f>
        <v>0</v>
      </c>
      <c r="E238" s="81">
        <f t="shared" si="43"/>
        <v>0</v>
      </c>
      <c r="F238" s="81">
        <f t="shared" si="43"/>
        <v>0</v>
      </c>
      <c r="G238" s="81">
        <f t="shared" si="43"/>
        <v>0</v>
      </c>
      <c r="H238" s="81">
        <f t="shared" si="43"/>
        <v>0</v>
      </c>
      <c r="I238" s="81">
        <f t="shared" si="43"/>
        <v>0</v>
      </c>
      <c r="J238" s="81">
        <f t="shared" si="43"/>
        <v>0</v>
      </c>
      <c r="K238" s="79"/>
      <c r="L238" s="79"/>
    </row>
    <row r="239" spans="1:12">
      <c r="A239" s="80" t="str">
        <f t="shared" si="38"/>
        <v>Bajra</v>
      </c>
      <c r="B239" s="80" t="s">
        <v>350</v>
      </c>
      <c r="C239" s="215">
        <v>1800</v>
      </c>
      <c r="D239" s="81">
        <f t="shared" ref="D239:J239" si="44">B74*$C$239*D$172</f>
        <v>0</v>
      </c>
      <c r="E239" s="81">
        <f t="shared" si="44"/>
        <v>0</v>
      </c>
      <c r="F239" s="81">
        <f t="shared" si="44"/>
        <v>0</v>
      </c>
      <c r="G239" s="81">
        <f t="shared" si="44"/>
        <v>0</v>
      </c>
      <c r="H239" s="81">
        <f t="shared" si="44"/>
        <v>0</v>
      </c>
      <c r="I239" s="81">
        <f t="shared" si="44"/>
        <v>0</v>
      </c>
      <c r="J239" s="81">
        <f t="shared" si="44"/>
        <v>0</v>
      </c>
      <c r="K239" s="79"/>
      <c r="L239" s="79"/>
    </row>
    <row r="240" spans="1:12">
      <c r="A240" s="80" t="str">
        <f t="shared" si="38"/>
        <v>Jawar</v>
      </c>
      <c r="B240" s="80" t="s">
        <v>350</v>
      </c>
      <c r="C240" s="215"/>
      <c r="D240" s="81">
        <f t="shared" ref="D240:J240" si="45">B75*$C$240*D$172</f>
        <v>0</v>
      </c>
      <c r="E240" s="81">
        <f t="shared" si="45"/>
        <v>0</v>
      </c>
      <c r="F240" s="81">
        <f t="shared" si="45"/>
        <v>0</v>
      </c>
      <c r="G240" s="81">
        <f t="shared" si="45"/>
        <v>0</v>
      </c>
      <c r="H240" s="81">
        <f t="shared" si="45"/>
        <v>0</v>
      </c>
      <c r="I240" s="81">
        <f t="shared" si="45"/>
        <v>0</v>
      </c>
      <c r="J240" s="81">
        <f t="shared" si="45"/>
        <v>0</v>
      </c>
      <c r="K240" s="79"/>
      <c r="L240" s="79"/>
    </row>
    <row r="241" spans="1:12">
      <c r="A241" s="80" t="str">
        <f t="shared" si="38"/>
        <v>Sunflower</v>
      </c>
      <c r="B241" s="80" t="s">
        <v>350</v>
      </c>
      <c r="C241" s="215"/>
      <c r="D241" s="81">
        <f t="shared" ref="D241:J241" si="46">B76*$C$241*D$172</f>
        <v>0</v>
      </c>
      <c r="E241" s="81">
        <f t="shared" si="46"/>
        <v>0</v>
      </c>
      <c r="F241" s="81">
        <f t="shared" si="46"/>
        <v>0</v>
      </c>
      <c r="G241" s="81">
        <f t="shared" si="46"/>
        <v>0</v>
      </c>
      <c r="H241" s="81">
        <f t="shared" si="46"/>
        <v>0</v>
      </c>
      <c r="I241" s="81">
        <f t="shared" si="46"/>
        <v>0</v>
      </c>
      <c r="J241" s="81">
        <f t="shared" si="46"/>
        <v>0</v>
      </c>
      <c r="K241" s="79"/>
      <c r="L241" s="79"/>
    </row>
    <row r="242" spans="1:12">
      <c r="A242" s="80" t="str">
        <f t="shared" si="38"/>
        <v>Wheat</v>
      </c>
      <c r="B242" s="80" t="s">
        <v>350</v>
      </c>
      <c r="C242" s="215"/>
      <c r="D242" s="81">
        <f t="shared" ref="D242:J242" si="47">B77*$C$242*D$172</f>
        <v>0</v>
      </c>
      <c r="E242" s="81">
        <f t="shared" si="47"/>
        <v>0</v>
      </c>
      <c r="F242" s="81">
        <f t="shared" si="47"/>
        <v>0</v>
      </c>
      <c r="G242" s="81">
        <f t="shared" si="47"/>
        <v>0</v>
      </c>
      <c r="H242" s="81">
        <f t="shared" si="47"/>
        <v>0</v>
      </c>
      <c r="I242" s="81">
        <f t="shared" si="47"/>
        <v>0</v>
      </c>
      <c r="J242" s="81">
        <f t="shared" si="47"/>
        <v>0</v>
      </c>
      <c r="K242" s="79"/>
      <c r="L242" s="79"/>
    </row>
    <row r="243" spans="1:12">
      <c r="A243" s="80" t="str">
        <f t="shared" si="38"/>
        <v>Bengal Gram/Channa</v>
      </c>
      <c r="B243" s="80" t="s">
        <v>350</v>
      </c>
      <c r="C243" s="215">
        <v>4800</v>
      </c>
      <c r="D243" s="81">
        <f t="shared" ref="D243:J243" si="48">B78*$C$243*D$172</f>
        <v>0</v>
      </c>
      <c r="E243" s="81">
        <f t="shared" si="48"/>
        <v>0</v>
      </c>
      <c r="F243" s="81">
        <f t="shared" si="48"/>
        <v>0</v>
      </c>
      <c r="G243" s="81">
        <f t="shared" si="48"/>
        <v>0</v>
      </c>
      <c r="H243" s="81">
        <f t="shared" si="48"/>
        <v>0</v>
      </c>
      <c r="I243" s="81">
        <f t="shared" si="48"/>
        <v>0</v>
      </c>
      <c r="J243" s="81">
        <f t="shared" si="48"/>
        <v>0</v>
      </c>
      <c r="K243" s="79"/>
      <c r="L243" s="79"/>
    </row>
    <row r="244" spans="1:12">
      <c r="A244" s="80" t="str">
        <f t="shared" si="38"/>
        <v>Jawar</v>
      </c>
      <c r="B244" s="80" t="s">
        <v>350</v>
      </c>
      <c r="C244" s="215"/>
      <c r="D244" s="81">
        <f t="shared" ref="D244:J244" si="49">B79*$C$244*D$172</f>
        <v>0</v>
      </c>
      <c r="E244" s="81">
        <f t="shared" si="49"/>
        <v>0</v>
      </c>
      <c r="F244" s="81">
        <f t="shared" si="49"/>
        <v>0</v>
      </c>
      <c r="G244" s="81">
        <f t="shared" si="49"/>
        <v>0</v>
      </c>
      <c r="H244" s="81">
        <f t="shared" si="49"/>
        <v>0</v>
      </c>
      <c r="I244" s="81">
        <f t="shared" si="49"/>
        <v>0</v>
      </c>
      <c r="J244" s="81">
        <f t="shared" si="49"/>
        <v>0</v>
      </c>
      <c r="K244" s="79"/>
      <c r="L244" s="79"/>
    </row>
    <row r="245" spans="1:12">
      <c r="A245" s="80" t="str">
        <f t="shared" si="38"/>
        <v>Maize</v>
      </c>
      <c r="B245" s="80" t="s">
        <v>350</v>
      </c>
      <c r="C245" s="215"/>
      <c r="D245" s="81">
        <f t="shared" ref="D245:J245" si="50">B80*$C$245*D$172</f>
        <v>0</v>
      </c>
      <c r="E245" s="81">
        <f t="shared" si="50"/>
        <v>0</v>
      </c>
      <c r="F245" s="81">
        <f t="shared" si="50"/>
        <v>0</v>
      </c>
      <c r="G245" s="81">
        <f t="shared" si="50"/>
        <v>0</v>
      </c>
      <c r="H245" s="81">
        <f t="shared" si="50"/>
        <v>0</v>
      </c>
      <c r="I245" s="81">
        <f t="shared" si="50"/>
        <v>0</v>
      </c>
      <c r="J245" s="81">
        <f t="shared" si="50"/>
        <v>0</v>
      </c>
      <c r="K245" s="79"/>
      <c r="L245" s="79"/>
    </row>
    <row r="246" spans="1:12">
      <c r="A246" s="80" t="str">
        <f t="shared" si="38"/>
        <v>Safflower</v>
      </c>
      <c r="B246" s="80" t="s">
        <v>350</v>
      </c>
      <c r="C246" s="215"/>
      <c r="D246" s="81">
        <f t="shared" ref="D246:J246" si="51">B81*$C$246*D$172</f>
        <v>0</v>
      </c>
      <c r="E246" s="81">
        <f t="shared" si="51"/>
        <v>0</v>
      </c>
      <c r="F246" s="81">
        <f t="shared" si="51"/>
        <v>0</v>
      </c>
      <c r="G246" s="81">
        <f t="shared" si="51"/>
        <v>0</v>
      </c>
      <c r="H246" s="81">
        <f t="shared" si="51"/>
        <v>0</v>
      </c>
      <c r="I246" s="81">
        <f t="shared" si="51"/>
        <v>0</v>
      </c>
      <c r="J246" s="81">
        <f t="shared" si="51"/>
        <v>0</v>
      </c>
      <c r="K246" s="79"/>
      <c r="L246" s="79"/>
    </row>
    <row r="247" spans="1:12">
      <c r="A247" s="80">
        <f t="shared" si="38"/>
        <v>0</v>
      </c>
      <c r="B247" s="80" t="s">
        <v>350</v>
      </c>
      <c r="C247" s="215"/>
      <c r="D247" s="81">
        <f t="shared" ref="D247:J247" si="52">B82*$C$247*D$172</f>
        <v>0</v>
      </c>
      <c r="E247" s="81">
        <f t="shared" si="52"/>
        <v>0</v>
      </c>
      <c r="F247" s="81">
        <f t="shared" si="52"/>
        <v>0</v>
      </c>
      <c r="G247" s="81">
        <f t="shared" si="52"/>
        <v>0</v>
      </c>
      <c r="H247" s="81">
        <f t="shared" si="52"/>
        <v>0</v>
      </c>
      <c r="I247" s="81">
        <f t="shared" si="52"/>
        <v>0</v>
      </c>
      <c r="J247" s="81">
        <f t="shared" si="52"/>
        <v>0</v>
      </c>
      <c r="K247" s="79"/>
      <c r="L247" s="79"/>
    </row>
    <row r="248" spans="1:12">
      <c r="A248" s="80">
        <f t="shared" si="38"/>
        <v>0</v>
      </c>
      <c r="B248" s="80" t="s">
        <v>350</v>
      </c>
      <c r="C248" s="215"/>
      <c r="D248" s="81">
        <f t="shared" ref="D248:J248" si="53">B83*$C$248*D$172</f>
        <v>0</v>
      </c>
      <c r="E248" s="81">
        <f t="shared" si="53"/>
        <v>0</v>
      </c>
      <c r="F248" s="81">
        <f t="shared" si="53"/>
        <v>0</v>
      </c>
      <c r="G248" s="81">
        <f t="shared" si="53"/>
        <v>0</v>
      </c>
      <c r="H248" s="81">
        <f t="shared" si="53"/>
        <v>0</v>
      </c>
      <c r="I248" s="81">
        <f t="shared" si="53"/>
        <v>0</v>
      </c>
      <c r="J248" s="81">
        <f t="shared" si="53"/>
        <v>0</v>
      </c>
      <c r="K248" s="79"/>
      <c r="L248" s="79"/>
    </row>
    <row r="249" spans="1:12">
      <c r="A249" s="80">
        <f t="shared" si="38"/>
        <v>0</v>
      </c>
      <c r="B249" s="80" t="s">
        <v>350</v>
      </c>
      <c r="C249" s="215"/>
      <c r="D249" s="81">
        <f t="shared" ref="D249:J255" si="54">B84*$C249*D$172</f>
        <v>0</v>
      </c>
      <c r="E249" s="81">
        <f t="shared" si="54"/>
        <v>0</v>
      </c>
      <c r="F249" s="81">
        <f t="shared" si="54"/>
        <v>0</v>
      </c>
      <c r="G249" s="81">
        <f t="shared" si="54"/>
        <v>0</v>
      </c>
      <c r="H249" s="81">
        <f t="shared" si="54"/>
        <v>0</v>
      </c>
      <c r="I249" s="81">
        <f t="shared" si="54"/>
        <v>0</v>
      </c>
      <c r="J249" s="81">
        <f t="shared" si="54"/>
        <v>0</v>
      </c>
      <c r="K249" s="79"/>
      <c r="L249" s="79"/>
    </row>
    <row r="250" spans="1:12">
      <c r="A250" s="80" t="str">
        <f t="shared" si="38"/>
        <v>Groundnut</v>
      </c>
      <c r="B250" s="80" t="s">
        <v>350</v>
      </c>
      <c r="C250" s="215"/>
      <c r="D250" s="81">
        <f t="shared" si="54"/>
        <v>0</v>
      </c>
      <c r="E250" s="81">
        <f t="shared" si="54"/>
        <v>0</v>
      </c>
      <c r="F250" s="81">
        <f t="shared" si="54"/>
        <v>0</v>
      </c>
      <c r="G250" s="81">
        <f t="shared" si="54"/>
        <v>0</v>
      </c>
      <c r="H250" s="81">
        <f t="shared" si="54"/>
        <v>0</v>
      </c>
      <c r="I250" s="81">
        <f t="shared" si="54"/>
        <v>0</v>
      </c>
      <c r="J250" s="81">
        <f t="shared" si="54"/>
        <v>0</v>
      </c>
      <c r="K250" s="79"/>
      <c r="L250" s="79"/>
    </row>
    <row r="251" spans="1:12">
      <c r="A251" s="80">
        <f t="shared" si="38"/>
        <v>0</v>
      </c>
      <c r="B251" s="80" t="s">
        <v>350</v>
      </c>
      <c r="C251" s="215"/>
      <c r="D251" s="81">
        <f t="shared" si="54"/>
        <v>0</v>
      </c>
      <c r="E251" s="81">
        <f t="shared" si="54"/>
        <v>0</v>
      </c>
      <c r="F251" s="81">
        <f t="shared" si="54"/>
        <v>0</v>
      </c>
      <c r="G251" s="81">
        <f t="shared" si="54"/>
        <v>0</v>
      </c>
      <c r="H251" s="81">
        <f t="shared" si="54"/>
        <v>0</v>
      </c>
      <c r="I251" s="81">
        <f t="shared" si="54"/>
        <v>0</v>
      </c>
      <c r="J251" s="81">
        <f t="shared" si="54"/>
        <v>0</v>
      </c>
      <c r="K251" s="79"/>
      <c r="L251" s="79"/>
    </row>
    <row r="252" spans="1:12">
      <c r="A252" s="80">
        <f t="shared" si="38"/>
        <v>0</v>
      </c>
      <c r="B252" s="80" t="s">
        <v>350</v>
      </c>
      <c r="C252" s="215"/>
      <c r="D252" s="81">
        <f t="shared" si="54"/>
        <v>0</v>
      </c>
      <c r="E252" s="81">
        <f t="shared" si="54"/>
        <v>0</v>
      </c>
      <c r="F252" s="81">
        <f t="shared" si="54"/>
        <v>0</v>
      </c>
      <c r="G252" s="81">
        <f t="shared" si="54"/>
        <v>0</v>
      </c>
      <c r="H252" s="81">
        <f t="shared" si="54"/>
        <v>0</v>
      </c>
      <c r="I252" s="81">
        <f t="shared" si="54"/>
        <v>0</v>
      </c>
      <c r="J252" s="81">
        <f t="shared" si="54"/>
        <v>0</v>
      </c>
      <c r="K252" s="79"/>
      <c r="L252" s="79"/>
    </row>
    <row r="253" spans="1:12">
      <c r="A253" s="80">
        <f t="shared" si="38"/>
        <v>0</v>
      </c>
      <c r="B253" s="80" t="s">
        <v>350</v>
      </c>
      <c r="C253" s="215"/>
      <c r="D253" s="81">
        <f t="shared" si="54"/>
        <v>0</v>
      </c>
      <c r="E253" s="81">
        <f t="shared" si="54"/>
        <v>0</v>
      </c>
      <c r="F253" s="81">
        <f t="shared" si="54"/>
        <v>0</v>
      </c>
      <c r="G253" s="81">
        <f t="shared" si="54"/>
        <v>0</v>
      </c>
      <c r="H253" s="81">
        <f t="shared" si="54"/>
        <v>0</v>
      </c>
      <c r="I253" s="81">
        <f t="shared" si="54"/>
        <v>0</v>
      </c>
      <c r="J253" s="81">
        <f t="shared" si="54"/>
        <v>0</v>
      </c>
      <c r="K253" s="79"/>
      <c r="L253" s="79"/>
    </row>
    <row r="254" spans="1:12">
      <c r="A254" s="80">
        <f t="shared" si="38"/>
        <v>0</v>
      </c>
      <c r="B254" s="80" t="s">
        <v>350</v>
      </c>
      <c r="C254" s="215"/>
      <c r="D254" s="81">
        <f t="shared" si="54"/>
        <v>0</v>
      </c>
      <c r="E254" s="81">
        <f t="shared" si="54"/>
        <v>0</v>
      </c>
      <c r="F254" s="81">
        <f t="shared" si="54"/>
        <v>0</v>
      </c>
      <c r="G254" s="81">
        <f t="shared" si="54"/>
        <v>0</v>
      </c>
      <c r="H254" s="81">
        <f t="shared" si="54"/>
        <v>0</v>
      </c>
      <c r="I254" s="81">
        <f t="shared" si="54"/>
        <v>0</v>
      </c>
      <c r="J254" s="81">
        <f t="shared" si="54"/>
        <v>0</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Grain Crop Production Details</v>
      </c>
      <c r="B256" s="80"/>
      <c r="C256" s="215"/>
      <c r="D256" s="81"/>
      <c r="E256" s="81"/>
      <c r="F256" s="81"/>
      <c r="G256" s="81"/>
      <c r="H256" s="81"/>
      <c r="I256" s="81"/>
      <c r="J256" s="81"/>
      <c r="K256" s="79"/>
      <c r="L256" s="79"/>
    </row>
    <row r="257" spans="1:12">
      <c r="A257" s="80" t="str">
        <f t="shared" si="55"/>
        <v>Paddy</v>
      </c>
      <c r="B257" s="80" t="s">
        <v>350</v>
      </c>
      <c r="C257" s="215">
        <v>1800</v>
      </c>
      <c r="D257" s="81">
        <f t="shared" ref="D257:D274" si="56">B92*$C257*D$172</f>
        <v>6480000</v>
      </c>
      <c r="E257" s="81">
        <f t="shared" ref="E257:E274" si="57">C92*$C257*E$172</f>
        <v>7484400.0000000009</v>
      </c>
      <c r="F257" s="81">
        <f t="shared" ref="F257:F274" si="58">D92*$C257*F$172</f>
        <v>8573040.0000000019</v>
      </c>
      <c r="G257" s="81">
        <f t="shared" ref="G257:G274" si="59">E92*$C257*G$172</f>
        <v>9751833.0000000037</v>
      </c>
      <c r="H257" s="81">
        <f t="shared" ref="H257:H274" si="60">F92*$C257*H$172</f>
        <v>11027072.700000005</v>
      </c>
      <c r="I257" s="81">
        <f t="shared" ref="I257:I274" si="61">G92*$C257*I$172</f>
        <v>12405456.787500009</v>
      </c>
      <c r="J257" s="81">
        <f t="shared" ref="J257:J274" si="62">H92*$C257*J$172</f>
        <v>13894111.602000009</v>
      </c>
      <c r="K257" s="79"/>
      <c r="L257" s="79"/>
    </row>
    <row r="258" spans="1:12">
      <c r="A258" s="80" t="e">
        <f t="shared" si="55"/>
        <v>#REF!</v>
      </c>
      <c r="B258" s="80" t="s">
        <v>350</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350</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v>
      </c>
      <c r="B260" s="80" t="s">
        <v>350</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350</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350</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350</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350</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350</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350</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350</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350</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350</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350</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350</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350</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350</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350</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350</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350</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350</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350</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350</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303</v>
      </c>
      <c r="B282" s="192">
        <v>5</v>
      </c>
      <c r="C282" s="192">
        <v>300</v>
      </c>
      <c r="D282" s="81">
        <f t="shared" ref="D282:J282" si="64">B10*$B$282*$C$282*D172</f>
        <v>0</v>
      </c>
      <c r="E282" s="81">
        <f t="shared" si="64"/>
        <v>0</v>
      </c>
      <c r="F282" s="81">
        <f t="shared" si="64"/>
        <v>0</v>
      </c>
      <c r="G282" s="81">
        <f t="shared" si="64"/>
        <v>0</v>
      </c>
      <c r="H282" s="81">
        <f t="shared" si="64"/>
        <v>0</v>
      </c>
      <c r="I282" s="81">
        <f t="shared" si="64"/>
        <v>0</v>
      </c>
      <c r="J282" s="81">
        <f t="shared" si="64"/>
        <v>0</v>
      </c>
      <c r="K282" s="79"/>
      <c r="L282" s="79"/>
    </row>
    <row r="283" spans="1:12">
      <c r="A283" s="80" t="s">
        <v>139</v>
      </c>
      <c r="B283" s="80">
        <f>'2.Capex Details'!H55*0.746*8</f>
        <v>0</v>
      </c>
      <c r="C283" s="192">
        <v>8</v>
      </c>
      <c r="D283" s="81">
        <f t="shared" ref="D283:J283" si="65">$B$283*$C$283*D172*B10</f>
        <v>0</v>
      </c>
      <c r="E283" s="81">
        <f t="shared" si="65"/>
        <v>0</v>
      </c>
      <c r="F283" s="81">
        <f t="shared" si="65"/>
        <v>0</v>
      </c>
      <c r="G283" s="81">
        <f t="shared" si="65"/>
        <v>0</v>
      </c>
      <c r="H283" s="81">
        <f t="shared" si="65"/>
        <v>0</v>
      </c>
      <c r="I283" s="81">
        <f t="shared" si="65"/>
        <v>0</v>
      </c>
      <c r="J283" s="81">
        <f t="shared" si="65"/>
        <v>0</v>
      </c>
      <c r="K283" s="79"/>
      <c r="L283" s="79"/>
    </row>
    <row r="284" spans="1:12">
      <c r="A284" s="80" t="s">
        <v>452</v>
      </c>
      <c r="B284" s="80"/>
      <c r="C284" s="192">
        <v>30</v>
      </c>
      <c r="D284" s="81">
        <f t="shared" ref="D284:J284" si="66">SUM(B120:B141)*$C$284*D172</f>
        <v>0</v>
      </c>
      <c r="E284" s="81">
        <f t="shared" si="66"/>
        <v>0</v>
      </c>
      <c r="F284" s="81">
        <f t="shared" si="66"/>
        <v>0</v>
      </c>
      <c r="G284" s="81">
        <f t="shared" si="66"/>
        <v>0</v>
      </c>
      <c r="H284" s="81">
        <f t="shared" si="66"/>
        <v>0</v>
      </c>
      <c r="I284" s="81">
        <f t="shared" si="66"/>
        <v>0</v>
      </c>
      <c r="J284" s="81">
        <f t="shared" si="66"/>
        <v>0</v>
      </c>
      <c r="K284" s="79"/>
      <c r="L284" s="79"/>
    </row>
    <row r="285" spans="1:12">
      <c r="A285" s="80" t="s">
        <v>451</v>
      </c>
      <c r="B285" s="80"/>
      <c r="C285" s="192">
        <v>30</v>
      </c>
      <c r="D285" s="81">
        <f t="shared" ref="D285:J285" si="67">SUM(B120:B141)*$C$285*D172</f>
        <v>0</v>
      </c>
      <c r="E285" s="81">
        <f t="shared" si="67"/>
        <v>0</v>
      </c>
      <c r="F285" s="81">
        <f t="shared" si="67"/>
        <v>0</v>
      </c>
      <c r="G285" s="81">
        <f t="shared" si="67"/>
        <v>0</v>
      </c>
      <c r="H285" s="81">
        <f t="shared" si="67"/>
        <v>0</v>
      </c>
      <c r="I285" s="81">
        <f t="shared" si="67"/>
        <v>0</v>
      </c>
      <c r="J285" s="81">
        <f t="shared" si="67"/>
        <v>0</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330</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331</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309</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300</v>
      </c>
      <c r="B293" s="80"/>
      <c r="C293" s="80"/>
      <c r="D293" s="93"/>
      <c r="E293" s="93"/>
      <c r="F293" s="93"/>
      <c r="G293" s="93"/>
      <c r="H293" s="93"/>
      <c r="I293" s="80"/>
      <c r="J293" s="80"/>
      <c r="K293" s="79"/>
      <c r="L293" s="79"/>
      <c r="M293" s="79"/>
      <c r="N293" s="79"/>
      <c r="O293" s="79"/>
      <c r="P293" s="79"/>
      <c r="Q293" s="79"/>
      <c r="R293" s="79"/>
      <c r="S293" s="79"/>
      <c r="T293" s="79"/>
    </row>
    <row r="294" spans="1:20">
      <c r="A294" s="80" t="s">
        <v>183</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313</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305</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704" t="s">
        <v>410</v>
      </c>
      <c r="B308" s="704"/>
      <c r="C308" s="704"/>
      <c r="D308" s="704"/>
      <c r="E308" s="704"/>
      <c r="F308" s="704"/>
      <c r="G308" s="704"/>
      <c r="H308" s="704"/>
      <c r="I308" s="704"/>
      <c r="J308" s="704"/>
    </row>
    <row r="310" spans="1:20">
      <c r="A310" t="s">
        <v>506</v>
      </c>
    </row>
    <row r="311" spans="1:20">
      <c r="A311">
        <v>1</v>
      </c>
      <c r="B311" t="s">
        <v>516</v>
      </c>
    </row>
    <row r="312" spans="1:20">
      <c r="A312">
        <v>2</v>
      </c>
      <c r="B312" t="s">
        <v>517</v>
      </c>
    </row>
    <row r="313" spans="1:20">
      <c r="A313">
        <v>3</v>
      </c>
      <c r="B313" s="79" t="s">
        <v>566</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703" t="s">
        <v>561</v>
      </c>
      <c r="B3" s="703"/>
      <c r="C3" s="703"/>
      <c r="D3" s="703"/>
      <c r="E3" s="703"/>
      <c r="F3" s="703"/>
      <c r="G3" s="703"/>
      <c r="H3" s="703"/>
    </row>
    <row r="4" spans="1:8" ht="18.75">
      <c r="A4" s="703" t="s">
        <v>562</v>
      </c>
      <c r="B4" s="703"/>
      <c r="C4" s="703"/>
      <c r="D4" s="703"/>
      <c r="E4" s="703"/>
      <c r="F4" s="703"/>
      <c r="G4" s="703"/>
      <c r="H4" s="703"/>
    </row>
    <row r="5" spans="1:8">
      <c r="A5" s="79" t="s">
        <v>156</v>
      </c>
      <c r="B5" s="208">
        <v>1</v>
      </c>
      <c r="C5" s="79" t="s">
        <v>461</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164</v>
      </c>
      <c r="H11" s="70" t="s">
        <v>163</v>
      </c>
    </row>
    <row r="12" spans="1:8">
      <c r="A12" s="80" t="s">
        <v>165</v>
      </c>
      <c r="B12" s="269">
        <f t="shared" ref="B12:H12" si="0">B39/($B$5*$B$6)</f>
        <v>0</v>
      </c>
      <c r="C12" s="269">
        <f t="shared" si="0"/>
        <v>0</v>
      </c>
      <c r="D12" s="269">
        <f t="shared" si="0"/>
        <v>0</v>
      </c>
      <c r="E12" s="269">
        <f t="shared" si="0"/>
        <v>0</v>
      </c>
      <c r="F12" s="269">
        <f t="shared" si="0"/>
        <v>0</v>
      </c>
      <c r="G12" s="269">
        <f t="shared" si="0"/>
        <v>0</v>
      </c>
      <c r="H12" s="269">
        <f t="shared" si="0"/>
        <v>0</v>
      </c>
    </row>
    <row r="13" spans="1:8">
      <c r="A13" s="80" t="str">
        <f>'[3]11.F&amp;V Crop Production details'!A74</f>
        <v>Onion</v>
      </c>
      <c r="B13" s="80">
        <f>'[3]11.F&amp;V Crop Production details'!B74</f>
        <v>0</v>
      </c>
      <c r="C13" s="80">
        <f>'[3]11.F&amp;V Crop Production details'!C74</f>
        <v>0</v>
      </c>
      <c r="D13" s="80">
        <f>'[3]11.F&amp;V Crop Production details'!D74</f>
        <v>0</v>
      </c>
      <c r="E13" s="80">
        <f>'[3]11.F&amp;V Crop Production details'!E74</f>
        <v>0</v>
      </c>
      <c r="F13" s="80">
        <f>'[3]11.F&amp;V Crop Production details'!F74</f>
        <v>0</v>
      </c>
      <c r="G13" s="80">
        <f>'[3]11.F&amp;V Crop Production details'!G74</f>
        <v>0</v>
      </c>
      <c r="H13" s="80">
        <f>'[3]11.F&amp;V Crop Production details'!H74</f>
        <v>0</v>
      </c>
    </row>
    <row r="14" spans="1:8">
      <c r="A14" s="80" t="str">
        <f>'[3]11.F&amp;V Crop Production details'!A75</f>
        <v>Tomato</v>
      </c>
      <c r="B14" s="80">
        <f>'[3]11.F&amp;V Crop Production details'!B75</f>
        <v>0</v>
      </c>
      <c r="C14" s="80">
        <f>'[3]11.F&amp;V Crop Production details'!C75</f>
        <v>0</v>
      </c>
      <c r="D14" s="80">
        <f>'[3]11.F&amp;V Crop Production details'!D75</f>
        <v>0</v>
      </c>
      <c r="E14" s="80">
        <f>'[3]11.F&amp;V Crop Production details'!E75</f>
        <v>0</v>
      </c>
      <c r="F14" s="80">
        <f>'[3]11.F&amp;V Crop Production details'!F75</f>
        <v>0</v>
      </c>
      <c r="G14" s="80">
        <f>'[3]11.F&amp;V Crop Production details'!G75</f>
        <v>0</v>
      </c>
      <c r="H14" s="80">
        <f>'[3]11.F&amp;V Crop Production details'!H75</f>
        <v>0</v>
      </c>
    </row>
    <row r="15" spans="1:8">
      <c r="A15" s="80" t="str">
        <f>'[3]11.F&amp;V Crop Production details'!A76</f>
        <v>Okra</v>
      </c>
      <c r="B15" s="80">
        <f>'[3]11.F&amp;V Crop Production details'!B76</f>
        <v>0</v>
      </c>
      <c r="C15" s="80">
        <f>'[3]11.F&amp;V Crop Production details'!C76</f>
        <v>0</v>
      </c>
      <c r="D15" s="80">
        <f>'[3]11.F&amp;V Crop Production details'!D76</f>
        <v>0</v>
      </c>
      <c r="E15" s="80">
        <f>'[3]11.F&amp;V Crop Production details'!E76</f>
        <v>0</v>
      </c>
      <c r="F15" s="80">
        <f>'[3]11.F&amp;V Crop Production details'!F76</f>
        <v>0</v>
      </c>
      <c r="G15" s="80">
        <f>'[3]11.F&amp;V Crop Production details'!G76</f>
        <v>0</v>
      </c>
      <c r="H15" s="80">
        <f>'[3]11.F&amp;V Crop Production details'!H76</f>
        <v>0</v>
      </c>
    </row>
    <row r="16" spans="1:8">
      <c r="A16" s="80" t="str">
        <f>'[3]11.F&amp;V Crop Production details'!A77</f>
        <v>Chilli</v>
      </c>
      <c r="B16" s="80">
        <f>'[3]11.F&amp;V Crop Production details'!B77</f>
        <v>0</v>
      </c>
      <c r="C16" s="80">
        <f>'[3]11.F&amp;V Crop Production details'!C77</f>
        <v>0</v>
      </c>
      <c r="D16" s="80">
        <f>'[3]11.F&amp;V Crop Production details'!D77</f>
        <v>0</v>
      </c>
      <c r="E16" s="80">
        <f>'[3]11.F&amp;V Crop Production details'!E77</f>
        <v>0</v>
      </c>
      <c r="F16" s="80">
        <f>'[3]11.F&amp;V Crop Production details'!F77</f>
        <v>0</v>
      </c>
      <c r="G16" s="80">
        <f>'[3]11.F&amp;V Crop Production details'!G77</f>
        <v>0</v>
      </c>
      <c r="H16" s="80">
        <f>'[3]11.F&amp;V Crop Production details'!H77</f>
        <v>0</v>
      </c>
    </row>
    <row r="17" spans="1:8">
      <c r="A17" s="80" t="str">
        <f>'[3]11.F&amp;V Crop Production details'!A78</f>
        <v>Potato</v>
      </c>
      <c r="B17" s="80">
        <f>'[3]11.F&amp;V Crop Production details'!B78</f>
        <v>0</v>
      </c>
      <c r="C17" s="80">
        <f>'[3]11.F&amp;V Crop Production details'!C78</f>
        <v>0</v>
      </c>
      <c r="D17" s="80">
        <f>'[3]11.F&amp;V Crop Production details'!D78</f>
        <v>0</v>
      </c>
      <c r="E17" s="80">
        <f>'[3]11.F&amp;V Crop Production details'!E78</f>
        <v>0</v>
      </c>
      <c r="F17" s="80">
        <f>'[3]11.F&amp;V Crop Production details'!F78</f>
        <v>0</v>
      </c>
      <c r="G17" s="80">
        <f>'[3]11.F&amp;V Crop Production details'!G78</f>
        <v>0</v>
      </c>
      <c r="H17" s="80">
        <f>'[3]11.F&amp;V Crop Production details'!H78</f>
        <v>0</v>
      </c>
    </row>
    <row r="18" spans="1:8">
      <c r="A18" s="80">
        <f>'[3]11.F&amp;V Crop Production details'!A79</f>
        <v>0</v>
      </c>
      <c r="B18" s="80">
        <f>'[3]11.F&amp;V Crop Production details'!B79</f>
        <v>0</v>
      </c>
      <c r="C18" s="80">
        <f>'[3]11.F&amp;V Crop Production details'!C79</f>
        <v>0</v>
      </c>
      <c r="D18" s="80">
        <f>'[3]11.F&amp;V Crop Production details'!D79</f>
        <v>0</v>
      </c>
      <c r="E18" s="80">
        <f>'[3]11.F&amp;V Crop Production details'!E79</f>
        <v>0</v>
      </c>
      <c r="F18" s="80">
        <f>'[3]11.F&amp;V Crop Production details'!F79</f>
        <v>0</v>
      </c>
      <c r="G18" s="80">
        <f>'[3]11.F&amp;V Crop Production details'!G79</f>
        <v>0</v>
      </c>
      <c r="H18" s="80">
        <f>'[3]11.F&amp;V Crop Production details'!H79</f>
        <v>0</v>
      </c>
    </row>
    <row r="19" spans="1:8">
      <c r="A19" s="80">
        <f>'[3]11.F&amp;V Crop Production details'!A80</f>
        <v>0</v>
      </c>
      <c r="B19" s="80">
        <f>'[3]11.F&amp;V Crop Production details'!B80</f>
        <v>0</v>
      </c>
      <c r="C19" s="80">
        <f>'[3]11.F&amp;V Crop Production details'!C80</f>
        <v>0</v>
      </c>
      <c r="D19" s="80">
        <f>'[3]11.F&amp;V Crop Production details'!D80</f>
        <v>0</v>
      </c>
      <c r="E19" s="80">
        <f>'[3]11.F&amp;V Crop Production details'!E80</f>
        <v>0</v>
      </c>
      <c r="F19" s="80">
        <f>'[3]11.F&amp;V Crop Production details'!F80</f>
        <v>0</v>
      </c>
      <c r="G19" s="80">
        <f>'[3]11.F&amp;V Crop Production details'!G80</f>
        <v>0</v>
      </c>
      <c r="H19" s="80">
        <f>'[3]11.F&amp;V Crop Production details'!H80</f>
        <v>0</v>
      </c>
    </row>
    <row r="20" spans="1:8">
      <c r="A20" s="80">
        <f>'[3]11.F&amp;V Crop Production details'!A81</f>
        <v>0</v>
      </c>
      <c r="B20" s="80">
        <f>'[3]11.F&amp;V Crop Production details'!B81</f>
        <v>0</v>
      </c>
      <c r="C20" s="80">
        <f>'[3]11.F&amp;V Crop Production details'!C81</f>
        <v>0</v>
      </c>
      <c r="D20" s="80">
        <f>'[3]11.F&amp;V Crop Production details'!D81</f>
        <v>0</v>
      </c>
      <c r="E20" s="80">
        <f>'[3]11.F&amp;V Crop Production details'!E81</f>
        <v>0</v>
      </c>
      <c r="F20" s="80">
        <f>'[3]11.F&amp;V Crop Production details'!F81</f>
        <v>0</v>
      </c>
      <c r="G20" s="80">
        <f>'[3]11.F&amp;V Crop Production details'!G81</f>
        <v>0</v>
      </c>
      <c r="H20" s="80">
        <f>'[3]11.F&amp;V Crop Production details'!H81</f>
        <v>0</v>
      </c>
    </row>
    <row r="21" spans="1:8">
      <c r="A21" s="80">
        <f>'[3]11.F&amp;V Crop Production details'!A82</f>
        <v>0</v>
      </c>
      <c r="B21" s="80">
        <f>'[3]11.F&amp;V Crop Production details'!B82</f>
        <v>0</v>
      </c>
      <c r="C21" s="80">
        <f>'[3]11.F&amp;V Crop Production details'!C82</f>
        <v>0</v>
      </c>
      <c r="D21" s="80">
        <f>'[3]11.F&amp;V Crop Production details'!D82</f>
        <v>0</v>
      </c>
      <c r="E21" s="80">
        <f>'[3]11.F&amp;V Crop Production details'!E82</f>
        <v>0</v>
      </c>
      <c r="F21" s="80">
        <f>'[3]11.F&amp;V Crop Production details'!F82</f>
        <v>0</v>
      </c>
      <c r="G21" s="80">
        <f>'[3]11.F&amp;V Crop Production details'!G82</f>
        <v>0</v>
      </c>
      <c r="H21" s="80">
        <f>'[3]11.F&amp;V Crop Production details'!H82</f>
        <v>0</v>
      </c>
    </row>
    <row r="22" spans="1:8">
      <c r="A22" s="80" t="str">
        <f>'[3]11.F&amp;V Crop Production details'!A83</f>
        <v>Onion</v>
      </c>
      <c r="B22" s="80">
        <f>'[3]11.F&amp;V Crop Production details'!B83</f>
        <v>0</v>
      </c>
      <c r="C22" s="80">
        <f>'[3]11.F&amp;V Crop Production details'!C83</f>
        <v>0</v>
      </c>
      <c r="D22" s="80">
        <f>'[3]11.F&amp;V Crop Production details'!D83</f>
        <v>0</v>
      </c>
      <c r="E22" s="80">
        <f>'[3]11.F&amp;V Crop Production details'!E83</f>
        <v>0</v>
      </c>
      <c r="F22" s="80">
        <f>'[3]11.F&amp;V Crop Production details'!F83</f>
        <v>0</v>
      </c>
      <c r="G22" s="80">
        <f>'[3]11.F&amp;V Crop Production details'!G83</f>
        <v>0</v>
      </c>
      <c r="H22" s="80">
        <f>'[3]11.F&amp;V Crop Production details'!H83</f>
        <v>0</v>
      </c>
    </row>
    <row r="23" spans="1:8">
      <c r="A23" s="80" t="str">
        <f>'[3]11.F&amp;V Crop Production details'!A84</f>
        <v>Tomato</v>
      </c>
      <c r="B23" s="80">
        <f>'[3]11.F&amp;V Crop Production details'!B84</f>
        <v>0</v>
      </c>
      <c r="C23" s="80">
        <f>'[3]11.F&amp;V Crop Production details'!C84</f>
        <v>0</v>
      </c>
      <c r="D23" s="80">
        <f>'[3]11.F&amp;V Crop Production details'!D84</f>
        <v>0</v>
      </c>
      <c r="E23" s="80">
        <f>'[3]11.F&amp;V Crop Production details'!E84</f>
        <v>0</v>
      </c>
      <c r="F23" s="80">
        <f>'[3]11.F&amp;V Crop Production details'!F84</f>
        <v>0</v>
      </c>
      <c r="G23" s="80">
        <f>'[3]11.F&amp;V Crop Production details'!G84</f>
        <v>0</v>
      </c>
      <c r="H23" s="80">
        <f>'[3]11.F&amp;V Crop Production details'!H84</f>
        <v>0</v>
      </c>
    </row>
    <row r="24" spans="1:8">
      <c r="A24" s="80" t="str">
        <f>'[3]11.F&amp;V Crop Production details'!A85</f>
        <v>Okra</v>
      </c>
      <c r="B24" s="80">
        <f>'[3]11.F&amp;V Crop Production details'!B85</f>
        <v>0</v>
      </c>
      <c r="C24" s="80">
        <f>'[3]11.F&amp;V Crop Production details'!C85</f>
        <v>0</v>
      </c>
      <c r="D24" s="80">
        <f>'[3]11.F&amp;V Crop Production details'!D85</f>
        <v>0</v>
      </c>
      <c r="E24" s="80">
        <f>'[3]11.F&amp;V Crop Production details'!E85</f>
        <v>0</v>
      </c>
      <c r="F24" s="80">
        <f>'[3]11.F&amp;V Crop Production details'!F85</f>
        <v>0</v>
      </c>
      <c r="G24" s="80">
        <f>'[3]11.F&amp;V Crop Production details'!G85</f>
        <v>0</v>
      </c>
      <c r="H24" s="80">
        <f>'[3]11.F&amp;V Crop Production details'!H85</f>
        <v>0</v>
      </c>
    </row>
    <row r="25" spans="1:8">
      <c r="A25" s="80" t="str">
        <f>'[3]11.F&amp;V Crop Production details'!A86</f>
        <v>Chilli</v>
      </c>
      <c r="B25" s="80">
        <f>'[3]11.F&amp;V Crop Production details'!B86</f>
        <v>0</v>
      </c>
      <c r="C25" s="80">
        <f>'[3]11.F&amp;V Crop Production details'!C86</f>
        <v>0</v>
      </c>
      <c r="D25" s="80">
        <f>'[3]11.F&amp;V Crop Production details'!D86</f>
        <v>0</v>
      </c>
      <c r="E25" s="80">
        <f>'[3]11.F&amp;V Crop Production details'!E86</f>
        <v>0</v>
      </c>
      <c r="F25" s="80">
        <f>'[3]11.F&amp;V Crop Production details'!F86</f>
        <v>0</v>
      </c>
      <c r="G25" s="80">
        <f>'[3]11.F&amp;V Crop Production details'!G86</f>
        <v>0</v>
      </c>
      <c r="H25" s="80">
        <f>'[3]11.F&amp;V Crop Production details'!H86</f>
        <v>0</v>
      </c>
    </row>
    <row r="26" spans="1:8">
      <c r="A26" s="80" t="str">
        <f>'[3]11.F&amp;V Crop Production details'!A87</f>
        <v>Brinjal</v>
      </c>
      <c r="B26" s="80">
        <f>'[3]11.F&amp;V Crop Production details'!B87</f>
        <v>0</v>
      </c>
      <c r="C26" s="80">
        <f>'[3]11.F&amp;V Crop Production details'!C87</f>
        <v>0</v>
      </c>
      <c r="D26" s="80">
        <f>'[3]11.F&amp;V Crop Production details'!D87</f>
        <v>0</v>
      </c>
      <c r="E26" s="80">
        <f>'[3]11.F&amp;V Crop Production details'!E87</f>
        <v>0</v>
      </c>
      <c r="F26" s="80">
        <f>'[3]11.F&amp;V Crop Production details'!F87</f>
        <v>0</v>
      </c>
      <c r="G26" s="80">
        <f>'[3]11.F&amp;V Crop Production details'!G87</f>
        <v>0</v>
      </c>
      <c r="H26" s="80">
        <f>'[3]11.F&amp;V Crop Production details'!H87</f>
        <v>0</v>
      </c>
    </row>
    <row r="27" spans="1:8">
      <c r="A27" s="80">
        <f>'[3]11.F&amp;V Crop Production details'!A88</f>
        <v>0</v>
      </c>
      <c r="B27" s="80">
        <f>'[3]11.F&amp;V Crop Production details'!B88</f>
        <v>0</v>
      </c>
      <c r="C27" s="80">
        <f>'[3]11.F&amp;V Crop Production details'!C88</f>
        <v>0</v>
      </c>
      <c r="D27" s="80">
        <f>'[3]11.F&amp;V Crop Production details'!D88</f>
        <v>0</v>
      </c>
      <c r="E27" s="80">
        <f>'[3]11.F&amp;V Crop Production details'!E88</f>
        <v>0</v>
      </c>
      <c r="F27" s="80">
        <f>'[3]11.F&amp;V Crop Production details'!F88</f>
        <v>0</v>
      </c>
      <c r="G27" s="80">
        <f>'[3]11.F&amp;V Crop Production details'!G88</f>
        <v>0</v>
      </c>
      <c r="H27" s="80">
        <f>'[3]11.F&amp;V Crop Production details'!H88</f>
        <v>0</v>
      </c>
    </row>
    <row r="28" spans="1:8">
      <c r="A28" s="80">
        <f>'[3]11.F&amp;V Crop Production details'!A89</f>
        <v>0</v>
      </c>
      <c r="B28" s="80">
        <f>'[3]11.F&amp;V Crop Production details'!B89</f>
        <v>0</v>
      </c>
      <c r="C28" s="80">
        <f>'[3]11.F&amp;V Crop Production details'!C89</f>
        <v>0</v>
      </c>
      <c r="D28" s="80">
        <f>'[3]11.F&amp;V Crop Production details'!D89</f>
        <v>0</v>
      </c>
      <c r="E28" s="80">
        <f>'[3]11.F&amp;V Crop Production details'!E89</f>
        <v>0</v>
      </c>
      <c r="F28" s="80">
        <f>'[3]11.F&amp;V Crop Production details'!F89</f>
        <v>0</v>
      </c>
      <c r="G28" s="80">
        <f>'[3]11.F&amp;V Crop Production details'!G89</f>
        <v>0</v>
      </c>
      <c r="H28" s="80">
        <f>'[3]11.F&amp;V Crop Production details'!H89</f>
        <v>0</v>
      </c>
    </row>
    <row r="29" spans="1:8">
      <c r="A29" s="80">
        <f>'[3]11.F&amp;V Crop Production details'!A90</f>
        <v>0</v>
      </c>
      <c r="B29" s="80">
        <f>'[3]11.F&amp;V Crop Production details'!B90</f>
        <v>0</v>
      </c>
      <c r="C29" s="80">
        <f>'[3]11.F&amp;V Crop Production details'!C90</f>
        <v>0</v>
      </c>
      <c r="D29" s="80">
        <f>'[3]11.F&amp;V Crop Production details'!D90</f>
        <v>0</v>
      </c>
      <c r="E29" s="80">
        <f>'[3]11.F&amp;V Crop Production details'!E90</f>
        <v>0</v>
      </c>
      <c r="F29" s="80">
        <f>'[3]11.F&amp;V Crop Production details'!F90</f>
        <v>0</v>
      </c>
      <c r="G29" s="80">
        <f>'[3]11.F&amp;V Crop Production details'!G90</f>
        <v>0</v>
      </c>
      <c r="H29" s="80">
        <f>'[3]11.F&amp;V Crop Production details'!H90</f>
        <v>0</v>
      </c>
    </row>
    <row r="30" spans="1:8">
      <c r="A30" s="80">
        <f>'[3]11.F&amp;V Crop Production details'!A91</f>
        <v>0</v>
      </c>
      <c r="B30" s="80">
        <f>'[3]11.F&amp;V Crop Production details'!B91</f>
        <v>0</v>
      </c>
      <c r="C30" s="80">
        <f>'[3]11.F&amp;V Crop Production details'!C91</f>
        <v>0</v>
      </c>
      <c r="D30" s="80">
        <f>'[3]11.F&amp;V Crop Production details'!D91</f>
        <v>0</v>
      </c>
      <c r="E30" s="80">
        <f>'[3]11.F&amp;V Crop Production details'!E91</f>
        <v>0</v>
      </c>
      <c r="F30" s="80">
        <f>'[3]11.F&amp;V Crop Production details'!F91</f>
        <v>0</v>
      </c>
      <c r="G30" s="80">
        <f>'[3]11.F&amp;V Crop Production details'!G91</f>
        <v>0</v>
      </c>
      <c r="H30" s="80">
        <f>'[3]11.F&amp;V Crop Production details'!H91</f>
        <v>0</v>
      </c>
    </row>
    <row r="31" spans="1:8">
      <c r="A31" s="80">
        <f>'[3]11.F&amp;V Crop Production details'!A92</f>
        <v>0</v>
      </c>
      <c r="B31" s="80">
        <f>'[3]11.F&amp;V Crop Production details'!B92</f>
        <v>0</v>
      </c>
      <c r="C31" s="80">
        <f>'[3]11.F&amp;V Crop Production details'!C92</f>
        <v>0</v>
      </c>
      <c r="D31" s="80">
        <f>'[3]11.F&amp;V Crop Production details'!D92</f>
        <v>0</v>
      </c>
      <c r="E31" s="80">
        <f>'[3]11.F&amp;V Crop Production details'!E92</f>
        <v>0</v>
      </c>
      <c r="F31" s="80">
        <f>'[3]11.F&amp;V Crop Production details'!F92</f>
        <v>0</v>
      </c>
      <c r="G31" s="80">
        <f>'[3]11.F&amp;V Crop Production details'!G92</f>
        <v>0</v>
      </c>
      <c r="H31" s="80">
        <f>'[3]11.F&amp;V Crop Production details'!H92</f>
        <v>0</v>
      </c>
    </row>
    <row r="32" spans="1:8">
      <c r="A32" s="80">
        <f>'[3]11.F&amp;V Crop Production details'!A93</f>
        <v>0</v>
      </c>
      <c r="B32" s="80">
        <f>'[3]11.F&amp;V Crop Production details'!B93</f>
        <v>0</v>
      </c>
      <c r="C32" s="80">
        <f>'[3]11.F&amp;V Crop Production details'!C93</f>
        <v>0</v>
      </c>
      <c r="D32" s="80">
        <f>'[3]11.F&amp;V Crop Production details'!D93</f>
        <v>0</v>
      </c>
      <c r="E32" s="80">
        <f>'[3]11.F&amp;V Crop Production details'!E93</f>
        <v>0</v>
      </c>
      <c r="F32" s="80">
        <f>'[3]11.F&amp;V Crop Production details'!F93</f>
        <v>0</v>
      </c>
      <c r="G32" s="80">
        <f>'[3]11.F&amp;V Crop Production details'!G93</f>
        <v>0</v>
      </c>
      <c r="H32" s="80">
        <f>'[3]11.F&amp;V Crop Production details'!H93</f>
        <v>0</v>
      </c>
    </row>
    <row r="33" spans="1:8">
      <c r="A33" s="80">
        <f>'[3]11.F&amp;V Crop Production details'!A94</f>
        <v>0</v>
      </c>
      <c r="B33" s="80">
        <f>'[3]11.F&amp;V Crop Production details'!B94</f>
        <v>0</v>
      </c>
      <c r="C33" s="80">
        <f>'[3]11.F&amp;V Crop Production details'!C94</f>
        <v>0</v>
      </c>
      <c r="D33" s="80">
        <f>'[3]11.F&amp;V Crop Production details'!D94</f>
        <v>0</v>
      </c>
      <c r="E33" s="80">
        <f>'[3]11.F&amp;V Crop Production details'!E94</f>
        <v>0</v>
      </c>
      <c r="F33" s="80">
        <f>'[3]11.F&amp;V Crop Production details'!F94</f>
        <v>0</v>
      </c>
      <c r="G33" s="80">
        <f>'[3]11.F&amp;V Crop Production details'!G94</f>
        <v>0</v>
      </c>
      <c r="H33" s="80">
        <f>'[3]11.F&amp;V Crop Production details'!H94</f>
        <v>0</v>
      </c>
    </row>
    <row r="34" spans="1:8">
      <c r="A34" s="80" t="str">
        <f>'[3]11.F&amp;V Crop Production details'!A95</f>
        <v>Pomegranate</v>
      </c>
      <c r="B34" s="80">
        <f>'[3]11.F&amp;V Crop Production details'!B95</f>
        <v>0</v>
      </c>
      <c r="C34" s="80">
        <f>'[3]11.F&amp;V Crop Production details'!C95</f>
        <v>0</v>
      </c>
      <c r="D34" s="80">
        <f>'[3]11.F&amp;V Crop Production details'!D95</f>
        <v>0</v>
      </c>
      <c r="E34" s="80">
        <f>'[3]11.F&amp;V Crop Production details'!E95</f>
        <v>0</v>
      </c>
      <c r="F34" s="80">
        <f>'[3]11.F&amp;V Crop Production details'!F95</f>
        <v>0</v>
      </c>
      <c r="G34" s="80">
        <f>'[3]11.F&amp;V Crop Production details'!G95</f>
        <v>0</v>
      </c>
      <c r="H34" s="80">
        <f>'[3]11.F&amp;V Crop Production details'!H95</f>
        <v>0</v>
      </c>
    </row>
    <row r="35" spans="1:8">
      <c r="A35" s="80" t="str">
        <f>'[3]11.F&amp;V Crop Production details'!A96</f>
        <v>Custard Apple</v>
      </c>
      <c r="B35" s="80">
        <f>'[3]11.F&amp;V Crop Production details'!B96</f>
        <v>0</v>
      </c>
      <c r="C35" s="80">
        <f>'[3]11.F&amp;V Crop Production details'!C96</f>
        <v>0</v>
      </c>
      <c r="D35" s="80">
        <f>'[3]11.F&amp;V Crop Production details'!D96</f>
        <v>0</v>
      </c>
      <c r="E35" s="80">
        <f>'[3]11.F&amp;V Crop Production details'!E96</f>
        <v>0</v>
      </c>
      <c r="F35" s="80">
        <f>'[3]11.F&amp;V Crop Production details'!F96</f>
        <v>0</v>
      </c>
      <c r="G35" s="80">
        <f>'[3]11.F&amp;V Crop Production details'!G96</f>
        <v>0</v>
      </c>
      <c r="H35" s="80">
        <f>'[3]11.F&amp;V Crop Production details'!H96</f>
        <v>0</v>
      </c>
    </row>
    <row r="36" spans="1:8">
      <c r="A36" s="80" t="str">
        <f>'[3]11.F&amp;V Crop Production details'!A97</f>
        <v>Guava</v>
      </c>
      <c r="B36" s="80">
        <f>'[3]11.F&amp;V Crop Production details'!B97</f>
        <v>0</v>
      </c>
      <c r="C36" s="80">
        <f>'[3]11.F&amp;V Crop Production details'!C97</f>
        <v>0</v>
      </c>
      <c r="D36" s="80">
        <f>'[3]11.F&amp;V Crop Production details'!D97</f>
        <v>0</v>
      </c>
      <c r="E36" s="80">
        <f>'[3]11.F&amp;V Crop Production details'!E97</f>
        <v>0</v>
      </c>
      <c r="F36" s="80">
        <f>'[3]11.F&amp;V Crop Production details'!F97</f>
        <v>0</v>
      </c>
      <c r="G36" s="80">
        <f>'[3]11.F&amp;V Crop Production details'!G97</f>
        <v>0</v>
      </c>
      <c r="H36" s="80">
        <f>'[3]11.F&amp;V Crop Production details'!H97</f>
        <v>0</v>
      </c>
    </row>
    <row r="37" spans="1:8">
      <c r="A37" s="80" t="str">
        <f>'[3]11.F&amp;V Crop Production details'!A98</f>
        <v>Citrus</v>
      </c>
      <c r="B37" s="80">
        <f>'[3]11.F&amp;V Crop Production details'!B98</f>
        <v>0</v>
      </c>
      <c r="C37" s="80">
        <f>'[3]11.F&amp;V Crop Production details'!C98</f>
        <v>0</v>
      </c>
      <c r="D37" s="80">
        <f>'[3]11.F&amp;V Crop Production details'!D98</f>
        <v>0</v>
      </c>
      <c r="E37" s="80">
        <f>'[3]11.F&amp;V Crop Production details'!E98</f>
        <v>0</v>
      </c>
      <c r="F37" s="80">
        <f>'[3]11.F&amp;V Crop Production details'!F98</f>
        <v>0</v>
      </c>
      <c r="G37" s="80">
        <f>'[3]11.F&amp;V Crop Production details'!G98</f>
        <v>0</v>
      </c>
      <c r="H37" s="80">
        <f>'[3]11.F&amp;V Crop Production details'!H98</f>
        <v>0</v>
      </c>
    </row>
    <row r="38" spans="1:8">
      <c r="A38" s="80"/>
      <c r="B38" s="80"/>
      <c r="C38" s="80"/>
      <c r="D38" s="80"/>
      <c r="E38" s="80"/>
      <c r="F38" s="80"/>
      <c r="G38" s="80"/>
      <c r="H38" s="80"/>
    </row>
    <row r="39" spans="1:8">
      <c r="A39" s="80" t="s">
        <v>453</v>
      </c>
      <c r="B39" s="80">
        <f>SUM(B13:B37)</f>
        <v>0</v>
      </c>
      <c r="C39" s="80">
        <f t="shared" ref="C39:H39" si="1">SUM(C13:C37)</f>
        <v>0</v>
      </c>
      <c r="D39" s="80">
        <f t="shared" si="1"/>
        <v>0</v>
      </c>
      <c r="E39" s="80">
        <f t="shared" si="1"/>
        <v>0</v>
      </c>
      <c r="F39" s="80">
        <f t="shared" si="1"/>
        <v>0</v>
      </c>
      <c r="G39" s="80">
        <f t="shared" si="1"/>
        <v>0</v>
      </c>
      <c r="H39" s="80">
        <f t="shared" si="1"/>
        <v>0</v>
      </c>
    </row>
    <row r="40" spans="1:8">
      <c r="A40" s="279" t="s">
        <v>160</v>
      </c>
      <c r="B40" s="235">
        <v>0</v>
      </c>
      <c r="C40" s="235">
        <f>B40</f>
        <v>0</v>
      </c>
      <c r="D40" s="235">
        <f t="shared" ref="D40:H40" si="2">C40</f>
        <v>0</v>
      </c>
      <c r="E40" s="235">
        <f t="shared" si="2"/>
        <v>0</v>
      </c>
      <c r="F40" s="235">
        <f t="shared" si="2"/>
        <v>0</v>
      </c>
      <c r="G40" s="235">
        <f t="shared" si="2"/>
        <v>0</v>
      </c>
      <c r="H40" s="235">
        <f t="shared" si="2"/>
        <v>0</v>
      </c>
    </row>
    <row r="41" spans="1:8">
      <c r="A41" s="84" t="s">
        <v>462</v>
      </c>
      <c r="B41" s="280">
        <f>1-B40</f>
        <v>1</v>
      </c>
      <c r="C41" s="280">
        <f t="shared" ref="C41:H41" si="3">1-C40</f>
        <v>1</v>
      </c>
      <c r="D41" s="280">
        <f t="shared" si="3"/>
        <v>1</v>
      </c>
      <c r="E41" s="280">
        <f t="shared" si="3"/>
        <v>1</v>
      </c>
      <c r="F41" s="280">
        <f t="shared" si="3"/>
        <v>1</v>
      </c>
      <c r="G41" s="280">
        <f t="shared" si="3"/>
        <v>1</v>
      </c>
      <c r="H41" s="280">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277</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879</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880</v>
      </c>
      <c r="B125" s="81">
        <f>(B$62*50%)*0.7*2</f>
        <v>0</v>
      </c>
      <c r="C125" s="81">
        <f>(C$62*50%)*0.7</f>
        <v>0</v>
      </c>
      <c r="D125" s="81">
        <f t="shared" si="17"/>
        <v>0</v>
      </c>
      <c r="E125" s="81">
        <f t="shared" si="17"/>
        <v>0</v>
      </c>
      <c r="F125" s="81">
        <f t="shared" si="17"/>
        <v>0</v>
      </c>
      <c r="G125" s="81">
        <f t="shared" si="17"/>
        <v>0</v>
      </c>
      <c r="H125" s="81">
        <f t="shared" si="17"/>
        <v>0</v>
      </c>
    </row>
    <row r="126" spans="1:8">
      <c r="A126" s="80" t="s">
        <v>881</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2"/>
      <c r="C139" s="262"/>
      <c r="D139" s="262"/>
      <c r="E139" s="262"/>
      <c r="F139" s="262"/>
      <c r="G139" s="262"/>
      <c r="H139" s="262"/>
    </row>
    <row r="140" spans="1:8">
      <c r="A140" s="149" t="s">
        <v>440</v>
      </c>
    </row>
    <row r="141" spans="1:8">
      <c r="A141" t="s">
        <v>882</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883</v>
      </c>
      <c r="B142" s="27">
        <f t="shared" si="19"/>
        <v>0</v>
      </c>
      <c r="C142" s="27">
        <f t="shared" si="19"/>
        <v>0</v>
      </c>
      <c r="D142" s="27">
        <f t="shared" si="19"/>
        <v>0</v>
      </c>
      <c r="E142" s="27">
        <f t="shared" si="19"/>
        <v>0</v>
      </c>
      <c r="F142" s="27">
        <f t="shared" si="19"/>
        <v>0</v>
      </c>
      <c r="G142" s="27">
        <f t="shared" si="19"/>
        <v>0</v>
      </c>
      <c r="H142" s="27">
        <f t="shared" si="19"/>
        <v>0</v>
      </c>
    </row>
    <row r="143" spans="1:8">
      <c r="A143" t="s">
        <v>884</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703" t="s">
        <v>563</v>
      </c>
      <c r="B147" s="703"/>
      <c r="C147" s="703"/>
      <c r="D147" s="703"/>
      <c r="E147" s="703"/>
      <c r="F147" s="703"/>
      <c r="G147" s="703"/>
      <c r="H147" s="703"/>
      <c r="I147" s="703"/>
      <c r="J147" s="703"/>
    </row>
    <row r="148" spans="1:10">
      <c r="A148" s="610"/>
      <c r="B148" s="610"/>
      <c r="C148" s="610"/>
      <c r="D148" s="610"/>
      <c r="E148" s="610"/>
      <c r="F148" s="610"/>
      <c r="G148" s="610"/>
      <c r="H148" s="610"/>
    </row>
    <row r="149" spans="1:10">
      <c r="A149" s="277"/>
      <c r="B149" s="277"/>
      <c r="C149" s="277"/>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164</v>
      </c>
      <c r="J151" s="102" t="s">
        <v>163</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885</v>
      </c>
      <c r="C154" s="192">
        <v>150</v>
      </c>
      <c r="D154" s="81">
        <f>(B141*(1-'[3]5.Closing Stock &amp; W Capital'!$D$18)*$C154*D$149)</f>
        <v>0</v>
      </c>
      <c r="E154" s="81">
        <f>(((C141*(1-'[3]5.Closing Stock &amp; W Capital'!$D$18))+(B141*'[3]5.Closing Stock &amp; W Capital'!$D$18))*$C154*E$149)</f>
        <v>0</v>
      </c>
      <c r="F154" s="81">
        <f>(((D141*(1-'[3]5.Closing Stock &amp; W Capital'!$D$18))+(C141*'[3]5.Closing Stock &amp; W Capital'!$D$18))*$C154*F$149)</f>
        <v>0</v>
      </c>
      <c r="G154" s="81">
        <f>(((E141*(1-'[3]5.Closing Stock &amp; W Capital'!$D$18))+(D141*'[3]5.Closing Stock &amp; W Capital'!$D$18))*$C154*G$149)</f>
        <v>0</v>
      </c>
      <c r="H154" s="81">
        <f>(((F141*(1-'[3]5.Closing Stock &amp; W Capital'!$D$18))+(E141*'[3]5.Closing Stock &amp; W Capital'!$D$18))*$C154*H$149)</f>
        <v>0</v>
      </c>
      <c r="I154" s="81">
        <f>(((G141*(1-'[3]5.Closing Stock &amp; W Capital'!$D$18))+(F141*'[3]5.Closing Stock &amp; W Capital'!$D$18))*$C154*I$149)</f>
        <v>0</v>
      </c>
      <c r="J154" s="81">
        <f>(((H141*(1-'[3]5.Closing Stock &amp; W Capital'!$D$18))+(G141*'[3]5.Closing Stock &amp; W Capital'!$D$18))*$C154*J$149)</f>
        <v>0</v>
      </c>
    </row>
    <row r="155" spans="1:10">
      <c r="A155" s="80" t="str">
        <f>A125</f>
        <v>Pomegranate Juice</v>
      </c>
      <c r="B155" s="192" t="s">
        <v>886</v>
      </c>
      <c r="C155" s="192">
        <v>40</v>
      </c>
      <c r="D155" s="81">
        <f>(B142*(1-'[3]5.Closing Stock &amp; W Capital'!$D$18)*$C155*D$149)</f>
        <v>0</v>
      </c>
      <c r="E155" s="81">
        <f>(((C142*(1-'[3]5.Closing Stock &amp; W Capital'!$D$18))+(B142*'[3]5.Closing Stock &amp; W Capital'!$D$18))*$C155*E$149)</f>
        <v>0</v>
      </c>
      <c r="F155" s="81">
        <f>(((D142*(1-'[3]5.Closing Stock &amp; W Capital'!$D$18))+(C142*'[3]5.Closing Stock &amp; W Capital'!$D$18))*$C155*F$149)</f>
        <v>0</v>
      </c>
      <c r="G155" s="81">
        <f>(((E142*(1-'[3]5.Closing Stock &amp; W Capital'!$D$18))+(D142*'[3]5.Closing Stock &amp; W Capital'!$D$18))*$C155*G$149)</f>
        <v>0</v>
      </c>
      <c r="H155" s="81">
        <f>(((F142*(1-'[3]5.Closing Stock &amp; W Capital'!$D$18))+(E142*'[3]5.Closing Stock &amp; W Capital'!$D$18))*$C155*H$149)</f>
        <v>0</v>
      </c>
      <c r="I155" s="81">
        <f>(((G142*(1-'[3]5.Closing Stock &amp; W Capital'!$D$18))+(F142*'[3]5.Closing Stock &amp; W Capital'!$D$18))*$C155*I$149)</f>
        <v>0</v>
      </c>
      <c r="J155" s="81">
        <f>(((H142*(1-'[3]5.Closing Stock &amp; W Capital'!$D$18))+(G142*'[3]5.Closing Stock &amp; W Capital'!$D$18))*$C155*J$149)</f>
        <v>0</v>
      </c>
    </row>
    <row r="156" spans="1:10">
      <c r="A156" s="80" t="str">
        <f>A126</f>
        <v>Pomegranate Powder</v>
      </c>
      <c r="B156" s="192" t="s">
        <v>349</v>
      </c>
      <c r="C156" s="192">
        <v>50</v>
      </c>
      <c r="D156" s="81">
        <f>(B143*(1-'[3]5.Closing Stock &amp; W Capital'!$D$18)*$C156*D$149)</f>
        <v>0</v>
      </c>
      <c r="E156" s="81">
        <f>(((C143*(1-'[3]5.Closing Stock &amp; W Capital'!$D$18))+(B143*'[3]5.Closing Stock &amp; W Capital'!$D$18))*$C156*E$149)</f>
        <v>0</v>
      </c>
      <c r="F156" s="81">
        <f>(((D143*(1-'[3]5.Closing Stock &amp; W Capital'!$D$18))+(C143*'[3]5.Closing Stock &amp; W Capital'!$D$18))*$C156*F$149)</f>
        <v>0</v>
      </c>
      <c r="G156" s="81">
        <f>(((E143*(1-'[3]5.Closing Stock &amp; W Capital'!$D$18))+(D143*'[3]5.Closing Stock &amp; W Capital'!$D$18))*$C156*G$149)</f>
        <v>0</v>
      </c>
      <c r="H156" s="81">
        <f>(((F143*(1-'[3]5.Closing Stock &amp; W Capital'!$D$18))+(E143*'[3]5.Closing Stock &amp; W Capital'!$D$18))*$C156*H$149)</f>
        <v>0</v>
      </c>
      <c r="I156" s="81">
        <f>(((G143*(1-'[3]5.Closing Stock &amp; W Capital'!$D$18))+(F143*'[3]5.Closing Stock &amp; W Capital'!$D$18))*$C156*I$149)</f>
        <v>0</v>
      </c>
      <c r="J156" s="81">
        <f>(((H143*(1-'[3]5.Closing Stock &amp; W Capital'!$D$18))+(G143*'[3]5.Closing Stock &amp; W Capital'!$D$18))*$C156*J$149)</f>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302</v>
      </c>
      <c r="B162" s="82"/>
      <c r="C162" s="80"/>
      <c r="D162" s="81"/>
      <c r="E162" s="81"/>
      <c r="F162" s="81"/>
      <c r="G162" s="81"/>
      <c r="H162" s="81"/>
      <c r="I162" s="81"/>
      <c r="J162" s="81"/>
    </row>
    <row r="163" spans="1:10">
      <c r="A163" s="84" t="s">
        <v>887</v>
      </c>
      <c r="B163" s="192" t="s">
        <v>350</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888</v>
      </c>
      <c r="B164" s="192" t="s">
        <v>350</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308</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f>'[3]2.Capex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285</v>
      </c>
      <c r="B167" s="80" t="s">
        <v>350</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286</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287</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330</v>
      </c>
      <c r="B174" s="81"/>
      <c r="C174" s="81"/>
      <c r="D174" s="81"/>
      <c r="E174" s="81">
        <f>'[3]5.Closing Stock &amp; W Capital'!F8</f>
        <v>0</v>
      </c>
      <c r="F174" s="81">
        <f>'[3]5.Closing Stock &amp; W Capital'!G8</f>
        <v>0</v>
      </c>
      <c r="G174" s="81">
        <f>'[3]5.Closing Stock &amp; W Capital'!H8</f>
        <v>0</v>
      </c>
      <c r="H174" s="81">
        <f>'[3]5.Closing Stock &amp; W Capital'!I8</f>
        <v>0</v>
      </c>
      <c r="I174" s="81">
        <f>'[3]5.Closing Stock &amp; W Capital'!J8</f>
        <v>0</v>
      </c>
      <c r="J174" s="81">
        <f>'[3]5.Closing Stock &amp; W Capital'!K8</f>
        <v>0</v>
      </c>
    </row>
    <row r="175" spans="1:10">
      <c r="A175" s="157" t="s">
        <v>331</v>
      </c>
      <c r="B175" s="81"/>
      <c r="C175" s="81"/>
      <c r="D175" s="81">
        <f>'[3]5.Closing Stock &amp; W Capital'!E17</f>
        <v>0</v>
      </c>
      <c r="E175" s="81">
        <f>'[3]5.Closing Stock &amp; W Capital'!F17</f>
        <v>0</v>
      </c>
      <c r="F175" s="81">
        <f>'[3]5.Closing Stock &amp; W Capital'!G17</f>
        <v>0</v>
      </c>
      <c r="G175" s="81">
        <f>'[3]5.Closing Stock &amp; W Capital'!H17</f>
        <v>0</v>
      </c>
      <c r="H175" s="81">
        <f>'[3]5.Closing Stock &amp; W Capital'!I17</f>
        <v>0</v>
      </c>
      <c r="I175" s="81">
        <f>'[3]5.Closing Stock &amp; W Capital'!J17</f>
        <v>0</v>
      </c>
      <c r="J175" s="81">
        <f>'[3]5.Closing Stock &amp; W Capital'!K17</f>
        <v>0</v>
      </c>
    </row>
    <row r="176" spans="1:10">
      <c r="A176" s="81"/>
      <c r="B176" s="81"/>
      <c r="C176" s="81"/>
      <c r="D176" s="81"/>
      <c r="E176" s="81"/>
      <c r="F176" s="81"/>
      <c r="G176" s="81"/>
      <c r="H176" s="81"/>
      <c r="I176" s="81"/>
      <c r="J176" s="81"/>
    </row>
    <row r="177" spans="1:10">
      <c r="A177" s="98" t="s">
        <v>309</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300</v>
      </c>
      <c r="B179" s="158"/>
      <c r="C179" s="158"/>
      <c r="D179" s="98"/>
      <c r="E179" s="98"/>
      <c r="F179" s="98"/>
      <c r="G179" s="98"/>
      <c r="H179" s="98"/>
      <c r="I179" s="98"/>
      <c r="J179" s="98"/>
    </row>
    <row r="180" spans="1:10">
      <c r="A180" s="80" t="s">
        <v>183</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185</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300</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288</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704" t="s">
        <v>411</v>
      </c>
      <c r="B192" s="704"/>
      <c r="C192" s="704"/>
      <c r="D192" s="704"/>
      <c r="E192" s="704"/>
      <c r="F192" s="704"/>
      <c r="G192" s="704"/>
      <c r="H192" s="704"/>
      <c r="I192" s="704"/>
      <c r="J192" s="704"/>
    </row>
    <row r="194" spans="1:5">
      <c r="A194" t="s">
        <v>506</v>
      </c>
    </row>
    <row r="195" spans="1:5">
      <c r="A195">
        <v>1</v>
      </c>
      <c r="B195" t="s">
        <v>516</v>
      </c>
    </row>
    <row r="196" spans="1:5">
      <c r="A196">
        <v>2</v>
      </c>
      <c r="B196" t="s">
        <v>517</v>
      </c>
      <c r="C196" s="56"/>
      <c r="D196" s="56"/>
      <c r="E196" s="56"/>
    </row>
    <row r="197" spans="1:5">
      <c r="A197">
        <v>3</v>
      </c>
      <c r="B197" s="79" t="s">
        <v>566</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71" t="s">
        <v>553</v>
      </c>
      <c r="B2" s="771"/>
      <c r="C2" s="771"/>
      <c r="D2" s="771"/>
      <c r="E2" s="771"/>
      <c r="F2" s="771"/>
      <c r="G2" s="771"/>
      <c r="H2" s="771"/>
    </row>
    <row r="3" spans="1:10" ht="18.75">
      <c r="A3" s="771" t="s">
        <v>554</v>
      </c>
      <c r="B3" s="771"/>
      <c r="C3" s="771"/>
      <c r="D3" s="771"/>
      <c r="E3" s="771"/>
      <c r="F3" s="771"/>
      <c r="G3" s="771"/>
      <c r="H3" s="771"/>
    </row>
    <row r="4" spans="1:10">
      <c r="A4" s="149" t="s">
        <v>156</v>
      </c>
      <c r="B4" s="220"/>
      <c r="C4" s="147" t="s">
        <v>289</v>
      </c>
      <c r="D4" s="147"/>
      <c r="E4" s="147"/>
      <c r="F4" s="147"/>
      <c r="G4" s="148"/>
      <c r="H4" s="79"/>
    </row>
    <row r="5" spans="1:10">
      <c r="A5" s="149"/>
      <c r="B5" s="150"/>
      <c r="C5" s="148"/>
      <c r="D5" s="148"/>
      <c r="E5" s="148"/>
      <c r="F5" s="148"/>
      <c r="G5" s="148"/>
      <c r="H5" s="79"/>
    </row>
    <row r="6" spans="1:10">
      <c r="A6" s="149" t="s">
        <v>291</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164</v>
      </c>
      <c r="H8" s="102" t="s">
        <v>163</v>
      </c>
    </row>
    <row r="9" spans="1:10">
      <c r="A9" s="80" t="s">
        <v>292</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310</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703" t="s">
        <v>555</v>
      </c>
      <c r="B15" s="703"/>
      <c r="C15" s="703"/>
      <c r="D15" s="703"/>
      <c r="E15" s="703"/>
      <c r="F15" s="703"/>
      <c r="G15" s="703"/>
      <c r="H15" s="703"/>
      <c r="I15" s="703"/>
      <c r="J15" s="703"/>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164</v>
      </c>
      <c r="J18" s="102" t="s">
        <v>163</v>
      </c>
    </row>
    <row r="19" spans="1:10">
      <c r="A19" s="80"/>
      <c r="B19" s="80"/>
      <c r="C19" s="80"/>
      <c r="D19" s="80"/>
      <c r="E19" s="80"/>
      <c r="F19" s="80"/>
      <c r="G19" s="80"/>
      <c r="H19" s="80"/>
      <c r="I19" s="80"/>
      <c r="J19" s="80"/>
    </row>
    <row r="20" spans="1:10">
      <c r="A20" s="82" t="s">
        <v>172</v>
      </c>
      <c r="B20" s="82"/>
      <c r="C20" s="82"/>
      <c r="D20" s="80"/>
      <c r="E20" s="80"/>
      <c r="F20" s="80"/>
      <c r="G20" s="80"/>
      <c r="H20" s="80"/>
      <c r="I20" s="80"/>
      <c r="J20" s="80"/>
    </row>
    <row r="21" spans="1:10">
      <c r="A21" s="80" t="s">
        <v>312</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302</v>
      </c>
      <c r="B26" s="82"/>
      <c r="C26" s="81"/>
      <c r="D26" s="81"/>
      <c r="E26" s="81"/>
      <c r="F26" s="81"/>
      <c r="G26" s="81"/>
      <c r="H26" s="81"/>
      <c r="I26" s="81"/>
      <c r="J26" s="81"/>
    </row>
    <row r="27" spans="1:10">
      <c r="A27" s="80" t="s">
        <v>293</v>
      </c>
      <c r="B27" s="192" t="s">
        <v>289</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294</v>
      </c>
      <c r="B28" s="192" t="s">
        <v>289</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295</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309</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300</v>
      </c>
      <c r="B36" s="192"/>
      <c r="C36" s="215"/>
      <c r="D36" s="81"/>
      <c r="E36" s="81"/>
      <c r="F36" s="81"/>
      <c r="G36" s="81"/>
      <c r="H36" s="81"/>
      <c r="I36" s="81"/>
      <c r="J36" s="81"/>
    </row>
    <row r="37" spans="1:10">
      <c r="A37" s="80" t="s">
        <v>311</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313</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704" t="s">
        <v>411</v>
      </c>
      <c r="B51" s="704"/>
      <c r="C51" s="704"/>
      <c r="D51" s="704"/>
      <c r="E51" s="704"/>
      <c r="F51" s="704"/>
      <c r="G51" s="704"/>
      <c r="H51" s="704"/>
      <c r="I51" s="704"/>
      <c r="J51" s="704"/>
    </row>
    <row r="53" spans="1:10">
      <c r="A53" t="s">
        <v>506</v>
      </c>
    </row>
    <row r="54" spans="1:10">
      <c r="A54">
        <v>1</v>
      </c>
      <c r="B54" t="s">
        <v>516</v>
      </c>
    </row>
    <row r="55" spans="1:10">
      <c r="A55">
        <v>2</v>
      </c>
      <c r="B55" t="s">
        <v>517</v>
      </c>
    </row>
    <row r="56" spans="1:10">
      <c r="A56">
        <v>3</v>
      </c>
      <c r="B56" s="79" t="s">
        <v>566</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703" t="s">
        <v>556</v>
      </c>
      <c r="B3" s="703"/>
      <c r="C3" s="703"/>
      <c r="D3" s="703"/>
      <c r="E3" s="703"/>
      <c r="F3" s="703"/>
      <c r="G3" s="703"/>
      <c r="H3" s="703"/>
      <c r="I3" s="703"/>
      <c r="J3" s="703"/>
      <c r="K3" s="703"/>
      <c r="L3" s="703"/>
    </row>
    <row r="4" spans="1:13" ht="18.75">
      <c r="A4" s="703" t="s">
        <v>557</v>
      </c>
      <c r="B4" s="703"/>
      <c r="C4" s="703"/>
      <c r="D4" s="703"/>
      <c r="E4" s="703"/>
      <c r="F4" s="703"/>
      <c r="G4" s="703"/>
      <c r="H4" s="703"/>
      <c r="I4" s="703"/>
      <c r="J4" s="703"/>
      <c r="K4" s="703"/>
      <c r="L4" s="703"/>
    </row>
    <row r="5" spans="1:13">
      <c r="A5" s="79"/>
      <c r="B5" s="79"/>
      <c r="C5" s="79"/>
    </row>
    <row r="6" spans="1:13">
      <c r="A6" s="79"/>
      <c r="B6" s="79"/>
      <c r="C6" s="79"/>
    </row>
    <row r="7" spans="1:13" ht="45">
      <c r="A7" s="245" t="s">
        <v>140</v>
      </c>
      <c r="B7" s="246" t="s">
        <v>419</v>
      </c>
      <c r="C7" s="246" t="s">
        <v>427</v>
      </c>
      <c r="D7" s="246" t="s">
        <v>425</v>
      </c>
      <c r="E7" s="246" t="s">
        <v>426</v>
      </c>
      <c r="F7" s="246" t="s">
        <v>296</v>
      </c>
      <c r="G7" s="246" t="s">
        <v>428</v>
      </c>
      <c r="H7" s="246" t="s">
        <v>429</v>
      </c>
      <c r="I7" s="246" t="s">
        <v>430</v>
      </c>
      <c r="J7" s="248" t="s">
        <v>433</v>
      </c>
      <c r="K7" s="246" t="s">
        <v>431</v>
      </c>
      <c r="L7" s="248" t="s">
        <v>432</v>
      </c>
      <c r="M7" s="246" t="s">
        <v>435</v>
      </c>
    </row>
    <row r="8" spans="1:13">
      <c r="A8" s="247">
        <v>1</v>
      </c>
      <c r="B8" s="242" t="s">
        <v>420</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421</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422</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423</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424</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703" t="s">
        <v>558</v>
      </c>
      <c r="B21" s="703"/>
      <c r="C21" s="703"/>
      <c r="D21" s="703"/>
      <c r="E21" s="703"/>
      <c r="F21" s="703"/>
      <c r="G21" s="703"/>
      <c r="H21" s="703"/>
      <c r="I21" s="703"/>
      <c r="J21" s="703"/>
      <c r="K21" s="703"/>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164</v>
      </c>
      <c r="K24" s="102" t="s">
        <v>163</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437</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297</v>
      </c>
      <c r="B42" s="82"/>
      <c r="C42" s="86"/>
      <c r="D42" s="86"/>
      <c r="E42" s="81"/>
      <c r="F42" s="81"/>
      <c r="G42" s="81"/>
      <c r="H42" s="81"/>
      <c r="I42" s="81"/>
      <c r="J42" s="81"/>
      <c r="K42" s="81"/>
    </row>
    <row r="43" spans="1:16">
      <c r="A43" s="80" t="s">
        <v>298</v>
      </c>
      <c r="B43" s="80" t="s">
        <v>434</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299</v>
      </c>
      <c r="B44" s="80" t="s">
        <v>436</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309</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300</v>
      </c>
      <c r="B51" s="158"/>
      <c r="C51" s="217"/>
      <c r="D51" s="217"/>
      <c r="E51" s="81"/>
      <c r="F51" s="81"/>
      <c r="G51" s="81"/>
      <c r="H51" s="81"/>
      <c r="I51" s="81"/>
      <c r="J51" s="81"/>
      <c r="K51" s="81"/>
    </row>
    <row r="52" spans="1:12">
      <c r="A52" s="92" t="s">
        <v>301</v>
      </c>
      <c r="B52" s="80" t="s">
        <v>379</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313</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304</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704" t="s">
        <v>409</v>
      </c>
      <c r="B62" s="704"/>
      <c r="C62" s="704"/>
      <c r="D62" s="704"/>
      <c r="E62" s="704"/>
      <c r="F62" s="704"/>
      <c r="G62" s="704"/>
      <c r="H62" s="704"/>
      <c r="I62" s="704"/>
      <c r="J62" s="704"/>
      <c r="K62" s="704"/>
      <c r="L62" s="704"/>
    </row>
    <row r="65" spans="1:2">
      <c r="A65" t="s">
        <v>506</v>
      </c>
    </row>
    <row r="66" spans="1:2">
      <c r="A66">
        <v>1</v>
      </c>
      <c r="B66" t="s">
        <v>516</v>
      </c>
    </row>
    <row r="67" spans="1:2">
      <c r="A67">
        <v>2</v>
      </c>
      <c r="B67" t="s">
        <v>517</v>
      </c>
    </row>
    <row r="68" spans="1:2">
      <c r="A68">
        <v>3</v>
      </c>
      <c r="B68" s="79" t="s">
        <v>566</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703" t="s">
        <v>559</v>
      </c>
      <c r="B2" s="703"/>
      <c r="C2" s="703"/>
      <c r="D2" s="703"/>
      <c r="E2" s="703"/>
      <c r="F2" s="703"/>
      <c r="G2" s="703"/>
      <c r="H2" s="703"/>
      <c r="I2" s="703"/>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164</v>
      </c>
      <c r="I6" s="102" t="s">
        <v>163</v>
      </c>
    </row>
    <row r="7" spans="1:9">
      <c r="A7" s="86" t="s">
        <v>519</v>
      </c>
      <c r="B7" s="84"/>
      <c r="C7" s="84"/>
      <c r="D7" s="84"/>
      <c r="E7" s="84"/>
      <c r="F7" s="84"/>
      <c r="G7" s="84"/>
      <c r="H7" s="84"/>
      <c r="I7" s="84"/>
    </row>
    <row r="8" spans="1:9">
      <c r="A8" s="86" t="s">
        <v>173</v>
      </c>
      <c r="B8" s="167"/>
      <c r="C8" s="216"/>
      <c r="D8" s="216"/>
      <c r="E8" s="216"/>
      <c r="F8" s="216"/>
      <c r="G8" s="216"/>
      <c r="H8" s="216"/>
      <c r="I8" s="216"/>
    </row>
    <row r="9" spans="1:9">
      <c r="A9" s="84" t="str">
        <f>'10.Grain Production details'!A92</f>
        <v>Soybean</v>
      </c>
      <c r="B9" s="167"/>
      <c r="C9" s="216">
        <f>'10.Grain Production details'!B92</f>
        <v>0</v>
      </c>
      <c r="D9" s="216">
        <f>'10.Grain Production details'!C92</f>
        <v>0</v>
      </c>
      <c r="E9" s="216">
        <f>'10.Grain Production details'!D92</f>
        <v>0</v>
      </c>
      <c r="F9" s="216">
        <f>'10.Grain Production details'!E92</f>
        <v>0</v>
      </c>
      <c r="G9" s="216">
        <f>'10.Grain Production details'!F92</f>
        <v>0</v>
      </c>
      <c r="H9" s="216">
        <f>'10.Grain Production details'!G92</f>
        <v>0</v>
      </c>
      <c r="I9" s="216">
        <f>'10.Grain Production details'!H92</f>
        <v>0</v>
      </c>
    </row>
    <row r="10" spans="1:9">
      <c r="A10" s="84" t="str">
        <f>'10.Grain Production details'!A93</f>
        <v>Red Gram/Tur</v>
      </c>
      <c r="B10" s="167"/>
      <c r="C10" s="216">
        <f>'10.Grain Production details'!B93</f>
        <v>0</v>
      </c>
      <c r="D10" s="216">
        <f>'10.Grain Production details'!C93</f>
        <v>0</v>
      </c>
      <c r="E10" s="216">
        <f>'10.Grain Production details'!D93</f>
        <v>0</v>
      </c>
      <c r="F10" s="216">
        <f>'10.Grain Production details'!E93</f>
        <v>0</v>
      </c>
      <c r="G10" s="216">
        <f>'10.Grain Production details'!F93</f>
        <v>0</v>
      </c>
      <c r="H10" s="216">
        <f>'10.Grain Production details'!G93</f>
        <v>0</v>
      </c>
      <c r="I10" s="216">
        <f>'10.Grain Production details'!H93</f>
        <v>0</v>
      </c>
    </row>
    <row r="11" spans="1:9">
      <c r="A11" s="84" t="str">
        <f>'10.Grain Production details'!A94</f>
        <v>Paddy/Rice</v>
      </c>
      <c r="B11" s="167"/>
      <c r="C11" s="216">
        <f>'10.Grain Production details'!B94</f>
        <v>0</v>
      </c>
      <c r="D11" s="216">
        <f>'10.Grain Production details'!C94</f>
        <v>0</v>
      </c>
      <c r="E11" s="216">
        <f>'10.Grain Production details'!D94</f>
        <v>0</v>
      </c>
      <c r="F11" s="216">
        <f>'10.Grain Production details'!E94</f>
        <v>0</v>
      </c>
      <c r="G11" s="216">
        <f>'10.Grain Production details'!F94</f>
        <v>0</v>
      </c>
      <c r="H11" s="216">
        <f>'10.Grain Production details'!G94</f>
        <v>0</v>
      </c>
      <c r="I11" s="216">
        <f>'10.Grain Production details'!H94</f>
        <v>0</v>
      </c>
    </row>
    <row r="12" spans="1:9">
      <c r="A12" s="84" t="str">
        <f>'10.Grain Production details'!A95</f>
        <v>Green Gram/ Moong</v>
      </c>
      <c r="B12" s="167"/>
      <c r="C12" s="216">
        <f>'10.Grain Production details'!B95</f>
        <v>0</v>
      </c>
      <c r="D12" s="216">
        <f>'10.Grain Production details'!C95</f>
        <v>0</v>
      </c>
      <c r="E12" s="216">
        <f>'10.Grain Production details'!D95</f>
        <v>0</v>
      </c>
      <c r="F12" s="216">
        <f>'10.Grain Production details'!E95</f>
        <v>0</v>
      </c>
      <c r="G12" s="216">
        <f>'10.Grain Production details'!F95</f>
        <v>0</v>
      </c>
      <c r="H12" s="216">
        <f>'10.Grain Production details'!G95</f>
        <v>0</v>
      </c>
      <c r="I12" s="216">
        <f>'10.Grain Production details'!H95</f>
        <v>0</v>
      </c>
    </row>
    <row r="13" spans="1:9">
      <c r="A13" s="84" t="str">
        <f>'10.Grain Production details'!A96</f>
        <v>Maize</v>
      </c>
      <c r="B13" s="167"/>
      <c r="C13" s="216">
        <f>'10.Grain Production details'!B96</f>
        <v>0</v>
      </c>
      <c r="D13" s="216">
        <f>'10.Grain Production details'!C96</f>
        <v>0</v>
      </c>
      <c r="E13" s="216">
        <f>'10.Grain Production details'!D96</f>
        <v>0</v>
      </c>
      <c r="F13" s="216">
        <f>'10.Grain Production details'!E96</f>
        <v>0</v>
      </c>
      <c r="G13" s="216">
        <f>'10.Grain Production details'!F96</f>
        <v>0</v>
      </c>
      <c r="H13" s="216">
        <f>'10.Grain Production details'!G96</f>
        <v>0</v>
      </c>
      <c r="I13" s="216">
        <f>'10.Grain Production details'!H96</f>
        <v>0</v>
      </c>
    </row>
    <row r="14" spans="1:9">
      <c r="A14" s="84" t="str">
        <f>'10.Grain Production details'!A97</f>
        <v>Black Gram/Udid</v>
      </c>
      <c r="B14" s="167"/>
      <c r="C14" s="216">
        <f>'10.Grain Production details'!B97</f>
        <v>0</v>
      </c>
      <c r="D14" s="216">
        <f>'10.Grain Production details'!C97</f>
        <v>0</v>
      </c>
      <c r="E14" s="216">
        <f>'10.Grain Production details'!D97</f>
        <v>0</v>
      </c>
      <c r="F14" s="216">
        <f>'10.Grain Production details'!E97</f>
        <v>0</v>
      </c>
      <c r="G14" s="216">
        <f>'10.Grain Production details'!F97</f>
        <v>0</v>
      </c>
      <c r="H14" s="216">
        <f>'10.Grain Production details'!G97</f>
        <v>0</v>
      </c>
      <c r="I14" s="216">
        <f>'10.Grain Production details'!H97</f>
        <v>0</v>
      </c>
    </row>
    <row r="15" spans="1:9">
      <c r="A15" s="84" t="str">
        <f>'10.Grain Production details'!A98</f>
        <v>Bajra</v>
      </c>
      <c r="B15" s="167"/>
      <c r="C15" s="216">
        <f>'10.Grain Production details'!B98</f>
        <v>0</v>
      </c>
      <c r="D15" s="216">
        <f>'10.Grain Production details'!C98</f>
        <v>0</v>
      </c>
      <c r="E15" s="216">
        <f>'10.Grain Production details'!D98</f>
        <v>0</v>
      </c>
      <c r="F15" s="216">
        <f>'10.Grain Production details'!E98</f>
        <v>0</v>
      </c>
      <c r="G15" s="216">
        <f>'10.Grain Production details'!F98</f>
        <v>0</v>
      </c>
      <c r="H15" s="216">
        <f>'10.Grain Production details'!G98</f>
        <v>0</v>
      </c>
      <c r="I15" s="216">
        <f>'10.Grain Production details'!H98</f>
        <v>0</v>
      </c>
    </row>
    <row r="16" spans="1:9">
      <c r="A16" s="84" t="str">
        <f>'10.Grain Production details'!A99</f>
        <v>Jawar</v>
      </c>
      <c r="B16" s="167"/>
      <c r="C16" s="216">
        <f>'10.Grain Production details'!B99</f>
        <v>0</v>
      </c>
      <c r="D16" s="216">
        <f>'10.Grain Production details'!C99</f>
        <v>0</v>
      </c>
      <c r="E16" s="216">
        <f>'10.Grain Production details'!D99</f>
        <v>0</v>
      </c>
      <c r="F16" s="216">
        <f>'10.Grain Production details'!E99</f>
        <v>0</v>
      </c>
      <c r="G16" s="216">
        <f>'10.Grain Production details'!F99</f>
        <v>0</v>
      </c>
      <c r="H16" s="216">
        <f>'10.Grain Production details'!G99</f>
        <v>0</v>
      </c>
      <c r="I16" s="216">
        <f>'10.Grain Production details'!H99</f>
        <v>0</v>
      </c>
    </row>
    <row r="17" spans="1:9">
      <c r="A17" s="86" t="s">
        <v>177</v>
      </c>
      <c r="B17" s="167"/>
      <c r="C17" s="216"/>
      <c r="D17" s="216"/>
      <c r="E17" s="216"/>
      <c r="F17" s="216"/>
      <c r="G17" s="216"/>
      <c r="H17" s="216"/>
      <c r="I17" s="216"/>
    </row>
    <row r="18" spans="1:9">
      <c r="A18" s="84" t="str">
        <f>'10.Grain Production details'!A101</f>
        <v>Wheat</v>
      </c>
      <c r="B18" s="167"/>
      <c r="C18" s="216">
        <f>'10.Grain Production details'!B101</f>
        <v>0</v>
      </c>
      <c r="D18" s="216">
        <f>'10.Grain Production details'!C101</f>
        <v>0</v>
      </c>
      <c r="E18" s="216">
        <f>'10.Grain Production details'!D101</f>
        <v>0</v>
      </c>
      <c r="F18" s="216">
        <f>'10.Grain Production details'!E101</f>
        <v>0</v>
      </c>
      <c r="G18" s="216">
        <f>'10.Grain Production details'!F101</f>
        <v>0</v>
      </c>
      <c r="H18" s="216">
        <f>'10.Grain Production details'!G101</f>
        <v>0</v>
      </c>
      <c r="I18" s="216">
        <f>'10.Grain Production details'!H101</f>
        <v>0</v>
      </c>
    </row>
    <row r="19" spans="1:9">
      <c r="A19" s="84" t="str">
        <f>'10.Grain Production details'!A102</f>
        <v>Bengal Gram/Channa</v>
      </c>
      <c r="B19" s="167"/>
      <c r="C19" s="216">
        <f>'10.Grain Production details'!B102</f>
        <v>0</v>
      </c>
      <c r="D19" s="216">
        <f>'10.Grain Production details'!C102</f>
        <v>0</v>
      </c>
      <c r="E19" s="216">
        <f>'10.Grain Production details'!D102</f>
        <v>0</v>
      </c>
      <c r="F19" s="216">
        <f>'10.Grain Production details'!E102</f>
        <v>0</v>
      </c>
      <c r="G19" s="216">
        <f>'10.Grain Production details'!F102</f>
        <v>0</v>
      </c>
      <c r="H19" s="216">
        <f>'10.Grain Production details'!G102</f>
        <v>0</v>
      </c>
      <c r="I19" s="216">
        <f>'10.Grain Production details'!H102</f>
        <v>0</v>
      </c>
    </row>
    <row r="20" spans="1:9">
      <c r="A20" s="84" t="str">
        <f>'10.Grain Production details'!A103</f>
        <v>Jawar</v>
      </c>
      <c r="B20" s="167"/>
      <c r="C20" s="216">
        <f>'10.Grain Production details'!B103</f>
        <v>0</v>
      </c>
      <c r="D20" s="216">
        <f>'10.Grain Production details'!C103</f>
        <v>0</v>
      </c>
      <c r="E20" s="216">
        <f>'10.Grain Production details'!D103</f>
        <v>0</v>
      </c>
      <c r="F20" s="216">
        <f>'10.Grain Production details'!E103</f>
        <v>0</v>
      </c>
      <c r="G20" s="216">
        <f>'10.Grain Production details'!F103</f>
        <v>0</v>
      </c>
      <c r="H20" s="216">
        <f>'10.Grain Production details'!G103</f>
        <v>0</v>
      </c>
      <c r="I20" s="216">
        <f>'10.Grain Production details'!H103</f>
        <v>0</v>
      </c>
    </row>
    <row r="21" spans="1:9">
      <c r="A21" s="84" t="str">
        <f>'10.Grain Production details'!A104</f>
        <v>Maize</v>
      </c>
      <c r="B21" s="167"/>
      <c r="C21" s="216">
        <f>'10.Grain Production details'!B104</f>
        <v>0</v>
      </c>
      <c r="D21" s="216">
        <f>'10.Grain Production details'!C104</f>
        <v>0</v>
      </c>
      <c r="E21" s="216">
        <f>'10.Grain Production details'!D104</f>
        <v>0</v>
      </c>
      <c r="F21" s="216">
        <f>'10.Grain Production details'!E104</f>
        <v>0</v>
      </c>
      <c r="G21" s="216">
        <f>'10.Grain Production details'!F104</f>
        <v>0</v>
      </c>
      <c r="H21" s="216">
        <f>'10.Grain Production details'!G104</f>
        <v>0</v>
      </c>
      <c r="I21" s="216">
        <f>'10.Grain Production details'!H104</f>
        <v>0</v>
      </c>
    </row>
    <row r="22" spans="1:9">
      <c r="A22" s="84" t="str">
        <f>'10.Grain Production details'!A105</f>
        <v>Safflower</v>
      </c>
      <c r="B22" s="167"/>
      <c r="C22" s="216">
        <f>'10.Grain Production details'!B105</f>
        <v>0</v>
      </c>
      <c r="D22" s="216">
        <f>'10.Grain Production details'!C105</f>
        <v>0</v>
      </c>
      <c r="E22" s="216">
        <f>'10.Grain Production details'!D105</f>
        <v>0</v>
      </c>
      <c r="F22" s="216">
        <f>'10.Grain Production details'!E105</f>
        <v>0</v>
      </c>
      <c r="G22" s="216">
        <f>'10.Grain Production details'!F105</f>
        <v>0</v>
      </c>
      <c r="H22" s="216">
        <f>'10.Grain Production details'!G105</f>
        <v>0</v>
      </c>
      <c r="I22" s="216">
        <f>'10.Grain Production details'!H105</f>
        <v>0</v>
      </c>
    </row>
    <row r="23" spans="1:9">
      <c r="A23" s="84">
        <f>'10.Grain Production details'!A106</f>
        <v>0</v>
      </c>
      <c r="B23" s="167"/>
      <c r="C23" s="216">
        <f>'10.Grain Production details'!B106</f>
        <v>0</v>
      </c>
      <c r="D23" s="216">
        <f>'10.Grain Production details'!C106</f>
        <v>0</v>
      </c>
      <c r="E23" s="216">
        <f>'10.Grain Production details'!D106</f>
        <v>0</v>
      </c>
      <c r="F23" s="216">
        <f>'10.Grain Production details'!E106</f>
        <v>0</v>
      </c>
      <c r="G23" s="216">
        <f>'10.Grain Production details'!F106</f>
        <v>0</v>
      </c>
      <c r="H23" s="216">
        <f>'10.Grain Production details'!G106</f>
        <v>0</v>
      </c>
      <c r="I23" s="216">
        <f>'10.Grain Production details'!H106</f>
        <v>0</v>
      </c>
    </row>
    <row r="24" spans="1:9">
      <c r="A24" s="84">
        <f>'10.Grain Production details'!A107</f>
        <v>0</v>
      </c>
      <c r="B24" s="167"/>
      <c r="C24" s="216">
        <f>'10.Grain Production details'!B107</f>
        <v>0</v>
      </c>
      <c r="D24" s="216">
        <f>'10.Grain Production details'!C107</f>
        <v>0</v>
      </c>
      <c r="E24" s="216">
        <f>'10.Grain Production details'!D107</f>
        <v>0</v>
      </c>
      <c r="F24" s="216">
        <f>'10.Grain Production details'!E107</f>
        <v>0</v>
      </c>
      <c r="G24" s="216">
        <f>'10.Grain Production details'!F107</f>
        <v>0</v>
      </c>
      <c r="H24" s="216">
        <f>'10.Grain Production details'!G107</f>
        <v>0</v>
      </c>
      <c r="I24" s="216">
        <f>'10.Grain Production details'!H107</f>
        <v>0</v>
      </c>
    </row>
    <row r="25" spans="1:9">
      <c r="A25" s="84">
        <f>'10.Grain Production details'!A108</f>
        <v>0</v>
      </c>
      <c r="B25" s="167"/>
      <c r="C25" s="216">
        <f>'10.Grain Production details'!B108</f>
        <v>0</v>
      </c>
      <c r="D25" s="216">
        <f>'10.Grain Production details'!C108</f>
        <v>0</v>
      </c>
      <c r="E25" s="216">
        <f>'10.Grain Production details'!D108</f>
        <v>0</v>
      </c>
      <c r="F25" s="216">
        <f>'10.Grain Production details'!E108</f>
        <v>0</v>
      </c>
      <c r="G25" s="216">
        <f>'10.Grain Production details'!F108</f>
        <v>0</v>
      </c>
      <c r="H25" s="216">
        <f>'10.Grain Production details'!G108</f>
        <v>0</v>
      </c>
      <c r="I25" s="216">
        <f>'10.Grain Production details'!H108</f>
        <v>0</v>
      </c>
    </row>
    <row r="26" spans="1:9">
      <c r="A26" s="86" t="str">
        <f>'10.Grain Production details'!A33</f>
        <v>Summer</v>
      </c>
      <c r="B26" s="167"/>
      <c r="C26" s="216"/>
      <c r="D26" s="216"/>
      <c r="E26" s="216"/>
      <c r="F26" s="216"/>
      <c r="G26" s="216"/>
      <c r="H26" s="216"/>
      <c r="I26" s="216"/>
    </row>
    <row r="27" spans="1:9">
      <c r="A27" s="84" t="str">
        <f>'10.Grain Production details'!A109</f>
        <v>Groundnut</v>
      </c>
      <c r="B27" s="167"/>
      <c r="C27" s="216">
        <f>'10.Grain Production details'!B110</f>
        <v>0</v>
      </c>
      <c r="D27" s="216">
        <f>'10.Grain Production details'!C110</f>
        <v>0</v>
      </c>
      <c r="E27" s="216">
        <f>'10.Grain Production details'!D110</f>
        <v>0</v>
      </c>
      <c r="F27" s="216">
        <f>'10.Grain Production details'!E110</f>
        <v>0</v>
      </c>
      <c r="G27" s="216">
        <f>'10.Grain Production details'!F110</f>
        <v>0</v>
      </c>
      <c r="H27" s="216">
        <f>'10.Grain Production details'!G110</f>
        <v>0</v>
      </c>
      <c r="I27" s="216">
        <f>'10.Grain Production details'!H110</f>
        <v>0</v>
      </c>
    </row>
    <row r="28" spans="1:9">
      <c r="A28" s="84">
        <f>'10.Grain Production details'!A110</f>
        <v>0</v>
      </c>
      <c r="B28" s="167"/>
      <c r="C28" s="216">
        <f>'10.Grain Production details'!B111</f>
        <v>0</v>
      </c>
      <c r="D28" s="216">
        <f>'10.Grain Production details'!C111</f>
        <v>0</v>
      </c>
      <c r="E28" s="216">
        <f>'10.Grain Production details'!D111</f>
        <v>0</v>
      </c>
      <c r="F28" s="216">
        <f>'10.Grain Production details'!E111</f>
        <v>0</v>
      </c>
      <c r="G28" s="216">
        <f>'10.Grain Production details'!F111</f>
        <v>0</v>
      </c>
      <c r="H28" s="216">
        <f>'10.Grain Production details'!G111</f>
        <v>0</v>
      </c>
      <c r="I28" s="216">
        <f>'10.Grain Production details'!H111</f>
        <v>0</v>
      </c>
    </row>
    <row r="29" spans="1:9">
      <c r="A29" s="84">
        <f>'10.Grain Production details'!A111</f>
        <v>0</v>
      </c>
      <c r="B29" s="167"/>
      <c r="C29" s="216">
        <f>'10.Grain Production details'!B112</f>
        <v>0</v>
      </c>
      <c r="D29" s="216">
        <f>'10.Grain Production details'!C112</f>
        <v>0</v>
      </c>
      <c r="E29" s="216">
        <f>'10.Grain Production details'!D112</f>
        <v>0</v>
      </c>
      <c r="F29" s="216">
        <f>'10.Grain Production details'!E112</f>
        <v>0</v>
      </c>
      <c r="G29" s="216">
        <f>'10.Grain Production details'!F112</f>
        <v>0</v>
      </c>
      <c r="H29" s="216">
        <f>'10.Grain Production details'!G112</f>
        <v>0</v>
      </c>
      <c r="I29" s="216">
        <f>'10.Grain Production details'!H112</f>
        <v>0</v>
      </c>
    </row>
    <row r="30" spans="1:9">
      <c r="A30" s="84">
        <f>'10.Grain Production details'!A112</f>
        <v>0</v>
      </c>
      <c r="B30" s="167"/>
      <c r="C30" s="216">
        <f>'10.Grain Production details'!B113</f>
        <v>0</v>
      </c>
      <c r="D30" s="216">
        <f>'10.Grain Production details'!C113</f>
        <v>0</v>
      </c>
      <c r="E30" s="216">
        <f>'10.Grain Production details'!D113</f>
        <v>0</v>
      </c>
      <c r="F30" s="216">
        <f>'10.Grain Production details'!E113</f>
        <v>0</v>
      </c>
      <c r="G30" s="216">
        <f>'10.Grain Production details'!F113</f>
        <v>0</v>
      </c>
      <c r="H30" s="216">
        <f>'10.Grain Production details'!G113</f>
        <v>0</v>
      </c>
      <c r="I30" s="216">
        <f>'10.Grain Production details'!H113</f>
        <v>0</v>
      </c>
    </row>
    <row r="31" spans="1:9">
      <c r="A31" s="84">
        <f>'10.Grain Production details'!A113</f>
        <v>0</v>
      </c>
      <c r="B31" s="167"/>
      <c r="C31" s="216">
        <f>'10.Grain Production details'!C114</f>
        <v>0</v>
      </c>
      <c r="D31" s="216">
        <f>'10.Grain Production details'!D114</f>
        <v>0</v>
      </c>
      <c r="E31" s="216">
        <f>'10.Grain Production details'!E114</f>
        <v>0</v>
      </c>
      <c r="F31" s="216">
        <f>'10.Grain Production details'!F114</f>
        <v>0</v>
      </c>
      <c r="G31" s="216">
        <f>'10.Grain Production details'!G114</f>
        <v>0</v>
      </c>
      <c r="H31" s="216">
        <f>'10.Grain Production details'!H114</f>
        <v>0</v>
      </c>
      <c r="I31" s="216">
        <f>'10.Grain Production details'!I114</f>
        <v>0</v>
      </c>
    </row>
    <row r="32" spans="1:9">
      <c r="A32" s="86" t="str">
        <f>'11.F&amp;V Crop Production details'!A1:H1</f>
        <v>Grain Crop Production Details</v>
      </c>
      <c r="B32" s="167"/>
      <c r="C32" s="216"/>
      <c r="D32" s="216"/>
      <c r="E32" s="216"/>
      <c r="F32" s="216"/>
      <c r="G32" s="216"/>
      <c r="H32" s="216"/>
      <c r="I32" s="216"/>
    </row>
    <row r="33" spans="1:9">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c r="A36" s="84" t="str">
        <f>'11.F&amp;V Crop Production details'!A45</f>
        <v>-</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c r="A58" s="84"/>
      <c r="B58" s="167"/>
      <c r="C58" s="167"/>
      <c r="D58" s="167"/>
      <c r="E58" s="167"/>
      <c r="F58" s="167"/>
      <c r="G58" s="167"/>
      <c r="H58" s="167"/>
      <c r="I58" s="167"/>
    </row>
    <row r="59" spans="1:9">
      <c r="A59" s="86" t="s">
        <v>178</v>
      </c>
      <c r="B59" s="84"/>
      <c r="C59" s="84"/>
      <c r="D59" s="84"/>
      <c r="E59" s="84"/>
      <c r="F59" s="84"/>
      <c r="G59" s="84"/>
      <c r="H59" s="84"/>
      <c r="I59" s="84"/>
    </row>
    <row r="60" spans="1:9">
      <c r="A60" s="86" t="s">
        <v>179</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str">
        <f t="shared" si="0"/>
        <v>Soybean</v>
      </c>
      <c r="B62" s="192">
        <v>40</v>
      </c>
      <c r="C62" s="168">
        <f>$B62*C9</f>
        <v>0</v>
      </c>
      <c r="D62" s="168">
        <f>$B62*D9</f>
        <v>0</v>
      </c>
      <c r="E62" s="168">
        <f t="shared" ref="E62:I62" si="1">$B62*E9</f>
        <v>0</v>
      </c>
      <c r="F62" s="168">
        <f t="shared" si="1"/>
        <v>0</v>
      </c>
      <c r="G62" s="168">
        <f t="shared" si="1"/>
        <v>0</v>
      </c>
      <c r="H62" s="168">
        <f t="shared" si="1"/>
        <v>0</v>
      </c>
      <c r="I62" s="168">
        <f t="shared" si="1"/>
        <v>0</v>
      </c>
    </row>
    <row r="63" spans="1:9">
      <c r="A63" s="84" t="str">
        <f t="shared" si="0"/>
        <v>Red Gram/Tur</v>
      </c>
      <c r="B63" s="192">
        <v>5</v>
      </c>
      <c r="C63" s="168">
        <f>$B63*C10</f>
        <v>0</v>
      </c>
      <c r="D63" s="168">
        <f t="shared" ref="D63:I63" si="2">$B$63*D10</f>
        <v>0</v>
      </c>
      <c r="E63" s="168">
        <f t="shared" si="2"/>
        <v>0</v>
      </c>
      <c r="F63" s="168">
        <f t="shared" si="2"/>
        <v>0</v>
      </c>
      <c r="G63" s="168">
        <f t="shared" si="2"/>
        <v>0</v>
      </c>
      <c r="H63" s="168">
        <f t="shared" si="2"/>
        <v>0</v>
      </c>
      <c r="I63" s="168">
        <f t="shared" si="2"/>
        <v>0</v>
      </c>
    </row>
    <row r="64" spans="1:9">
      <c r="A64" s="84" t="str">
        <f t="shared" si="0"/>
        <v>Paddy/Rice</v>
      </c>
      <c r="B64" s="192">
        <v>15</v>
      </c>
      <c r="C64" s="168">
        <f>$B64*C11</f>
        <v>0</v>
      </c>
      <c r="D64" s="168">
        <f t="shared" ref="D64:I64" si="3">$B$64*D11</f>
        <v>0</v>
      </c>
      <c r="E64" s="168">
        <f t="shared" si="3"/>
        <v>0</v>
      </c>
      <c r="F64" s="168">
        <f t="shared" si="3"/>
        <v>0</v>
      </c>
      <c r="G64" s="168">
        <f t="shared" si="3"/>
        <v>0</v>
      </c>
      <c r="H64" s="168">
        <f t="shared" si="3"/>
        <v>0</v>
      </c>
      <c r="I64" s="168">
        <f t="shared" si="3"/>
        <v>0</v>
      </c>
    </row>
    <row r="65" spans="1:9">
      <c r="A65" s="84" t="str">
        <f t="shared" si="0"/>
        <v>Green Gram/ Moong</v>
      </c>
      <c r="B65" s="192">
        <v>15</v>
      </c>
      <c r="C65" s="168">
        <f>$B65*C12</f>
        <v>0</v>
      </c>
      <c r="D65" s="168">
        <f t="shared" ref="D65:I67" si="4">$B65*D12</f>
        <v>0</v>
      </c>
      <c r="E65" s="168">
        <f t="shared" si="4"/>
        <v>0</v>
      </c>
      <c r="F65" s="168">
        <f t="shared" si="4"/>
        <v>0</v>
      </c>
      <c r="G65" s="168">
        <f t="shared" si="4"/>
        <v>0</v>
      </c>
      <c r="H65" s="168">
        <f t="shared" si="4"/>
        <v>0</v>
      </c>
      <c r="I65" s="168">
        <f t="shared" si="4"/>
        <v>0</v>
      </c>
    </row>
    <row r="66" spans="1:9">
      <c r="A66" s="84" t="str">
        <f t="shared" si="0"/>
        <v>Maize</v>
      </c>
      <c r="B66" s="192">
        <v>25</v>
      </c>
      <c r="C66" s="168">
        <f>$B66*C13</f>
        <v>0</v>
      </c>
      <c r="D66" s="168">
        <f t="shared" si="4"/>
        <v>0</v>
      </c>
      <c r="E66" s="168">
        <f t="shared" si="4"/>
        <v>0</v>
      </c>
      <c r="F66" s="168">
        <f t="shared" si="4"/>
        <v>0</v>
      </c>
      <c r="G66" s="168">
        <f t="shared" si="4"/>
        <v>0</v>
      </c>
      <c r="H66" s="168">
        <f t="shared" si="4"/>
        <v>0</v>
      </c>
      <c r="I66" s="168">
        <f t="shared" si="4"/>
        <v>0</v>
      </c>
    </row>
    <row r="67" spans="1:9">
      <c r="A67" s="84" t="str">
        <f t="shared" si="0"/>
        <v>Black Gram/Udid</v>
      </c>
      <c r="B67" s="192">
        <v>15</v>
      </c>
      <c r="C67" s="168">
        <f>$B67*C14</f>
        <v>0</v>
      </c>
      <c r="D67" s="168">
        <f t="shared" si="4"/>
        <v>0</v>
      </c>
      <c r="E67" s="168">
        <f t="shared" si="4"/>
        <v>0</v>
      </c>
      <c r="F67" s="168">
        <f t="shared" si="4"/>
        <v>0</v>
      </c>
      <c r="G67" s="168">
        <f t="shared" si="4"/>
        <v>0</v>
      </c>
      <c r="H67" s="168">
        <f t="shared" si="4"/>
        <v>0</v>
      </c>
      <c r="I67" s="168">
        <f t="shared" si="4"/>
        <v>0</v>
      </c>
    </row>
    <row r="68" spans="1:9">
      <c r="A68" s="84" t="str">
        <f t="shared" si="0"/>
        <v>Bajra</v>
      </c>
      <c r="B68" s="192">
        <v>5</v>
      </c>
      <c r="C68" s="168">
        <f t="shared" ref="C68:I68" si="5">$B68*C15</f>
        <v>0</v>
      </c>
      <c r="D68" s="168">
        <f t="shared" si="5"/>
        <v>0</v>
      </c>
      <c r="E68" s="168">
        <f t="shared" si="5"/>
        <v>0</v>
      </c>
      <c r="F68" s="168">
        <f t="shared" si="5"/>
        <v>0</v>
      </c>
      <c r="G68" s="168">
        <f t="shared" si="5"/>
        <v>0</v>
      </c>
      <c r="H68" s="168">
        <f t="shared" si="5"/>
        <v>0</v>
      </c>
      <c r="I68" s="168">
        <f t="shared" si="5"/>
        <v>0</v>
      </c>
    </row>
    <row r="69" spans="1:9">
      <c r="A69" s="84" t="str">
        <f t="shared" si="0"/>
        <v>Jawar</v>
      </c>
      <c r="B69" s="192">
        <v>5</v>
      </c>
      <c r="C69" s="168">
        <f t="shared" ref="C69:I69" si="6">$B69*C16</f>
        <v>0</v>
      </c>
      <c r="D69" s="168">
        <f t="shared" si="6"/>
        <v>0</v>
      </c>
      <c r="E69" s="168">
        <f t="shared" si="6"/>
        <v>0</v>
      </c>
      <c r="F69" s="168">
        <f t="shared" si="6"/>
        <v>0</v>
      </c>
      <c r="G69" s="168">
        <f t="shared" si="6"/>
        <v>0</v>
      </c>
      <c r="H69" s="168">
        <f t="shared" si="6"/>
        <v>0</v>
      </c>
      <c r="I69" s="168">
        <f t="shared" si="6"/>
        <v>0</v>
      </c>
    </row>
    <row r="70" spans="1:9">
      <c r="A70" s="86" t="str">
        <f t="shared" si="0"/>
        <v>Rabi Crop</v>
      </c>
      <c r="B70" s="192"/>
      <c r="C70" s="168"/>
      <c r="D70" s="168"/>
      <c r="E70" s="168"/>
      <c r="F70" s="168"/>
      <c r="G70" s="168"/>
      <c r="H70" s="168"/>
      <c r="I70" s="168"/>
    </row>
    <row r="71" spans="1:9">
      <c r="A71" s="84" t="str">
        <f t="shared" si="0"/>
        <v>Wheat</v>
      </c>
      <c r="B71" s="192">
        <v>20</v>
      </c>
      <c r="C71" s="168">
        <f t="shared" ref="C71:I71" si="7">$B71*C18</f>
        <v>0</v>
      </c>
      <c r="D71" s="168">
        <f t="shared" si="7"/>
        <v>0</v>
      </c>
      <c r="E71" s="168">
        <f t="shared" si="7"/>
        <v>0</v>
      </c>
      <c r="F71" s="168">
        <f t="shared" si="7"/>
        <v>0</v>
      </c>
      <c r="G71" s="168">
        <f t="shared" si="7"/>
        <v>0</v>
      </c>
      <c r="H71" s="168">
        <f t="shared" si="7"/>
        <v>0</v>
      </c>
      <c r="I71" s="168">
        <f t="shared" si="7"/>
        <v>0</v>
      </c>
    </row>
    <row r="72" spans="1:9">
      <c r="A72" s="84" t="str">
        <f t="shared" si="0"/>
        <v>Bengal Gram/Channa</v>
      </c>
      <c r="B72" s="192">
        <v>25</v>
      </c>
      <c r="C72" s="168">
        <f t="shared" ref="C72:I72" si="8">$B72*C19</f>
        <v>0</v>
      </c>
      <c r="D72" s="168">
        <f t="shared" si="8"/>
        <v>0</v>
      </c>
      <c r="E72" s="168">
        <f t="shared" si="8"/>
        <v>0</v>
      </c>
      <c r="F72" s="168">
        <f t="shared" si="8"/>
        <v>0</v>
      </c>
      <c r="G72" s="168">
        <f t="shared" si="8"/>
        <v>0</v>
      </c>
      <c r="H72" s="168">
        <f t="shared" si="8"/>
        <v>0</v>
      </c>
      <c r="I72" s="168">
        <f t="shared" si="8"/>
        <v>0</v>
      </c>
    </row>
    <row r="73" spans="1:9">
      <c r="A73" s="84" t="str">
        <f t="shared" si="0"/>
        <v>Jawar</v>
      </c>
      <c r="B73" s="192">
        <v>5</v>
      </c>
      <c r="C73" s="168">
        <f t="shared" ref="C73:I73" si="9">$B73*C20</f>
        <v>0</v>
      </c>
      <c r="D73" s="168">
        <f t="shared" si="9"/>
        <v>0</v>
      </c>
      <c r="E73" s="168">
        <f t="shared" si="9"/>
        <v>0</v>
      </c>
      <c r="F73" s="168">
        <f t="shared" si="9"/>
        <v>0</v>
      </c>
      <c r="G73" s="168">
        <f t="shared" si="9"/>
        <v>0</v>
      </c>
      <c r="H73" s="168">
        <f t="shared" si="9"/>
        <v>0</v>
      </c>
      <c r="I73" s="168">
        <f t="shared" si="9"/>
        <v>0</v>
      </c>
    </row>
    <row r="74" spans="1:9">
      <c r="A74" s="84" t="str">
        <f t="shared" si="0"/>
        <v>Maize</v>
      </c>
      <c r="B74" s="192">
        <v>20</v>
      </c>
      <c r="C74" s="168">
        <f t="shared" ref="C74:I74" si="10">$B74*C21</f>
        <v>0</v>
      </c>
      <c r="D74" s="168">
        <f t="shared" si="10"/>
        <v>0</v>
      </c>
      <c r="E74" s="168">
        <f t="shared" si="10"/>
        <v>0</v>
      </c>
      <c r="F74" s="168">
        <f t="shared" si="10"/>
        <v>0</v>
      </c>
      <c r="G74" s="168">
        <f t="shared" si="10"/>
        <v>0</v>
      </c>
      <c r="H74" s="168">
        <f t="shared" si="10"/>
        <v>0</v>
      </c>
      <c r="I74" s="168">
        <f t="shared" si="10"/>
        <v>0</v>
      </c>
    </row>
    <row r="75" spans="1:9">
      <c r="A75" s="84" t="str">
        <f t="shared" si="0"/>
        <v>Safflower</v>
      </c>
      <c r="B75" s="192"/>
      <c r="C75" s="168">
        <f t="shared" ref="C75:I75" si="11">$B75*C22</f>
        <v>0</v>
      </c>
      <c r="D75" s="168">
        <f t="shared" si="11"/>
        <v>0</v>
      </c>
      <c r="E75" s="168">
        <f t="shared" si="11"/>
        <v>0</v>
      </c>
      <c r="F75" s="168">
        <f t="shared" si="11"/>
        <v>0</v>
      </c>
      <c r="G75" s="168">
        <f t="shared" si="11"/>
        <v>0</v>
      </c>
      <c r="H75" s="168">
        <f t="shared" si="11"/>
        <v>0</v>
      </c>
      <c r="I75" s="168">
        <f t="shared" si="11"/>
        <v>0</v>
      </c>
    </row>
    <row r="76" spans="1:9">
      <c r="A76" s="84">
        <f t="shared" si="0"/>
        <v>0</v>
      </c>
      <c r="B76" s="192"/>
      <c r="C76" s="168">
        <f t="shared" ref="C76:I76" si="12">$B76*C23</f>
        <v>0</v>
      </c>
      <c r="D76" s="168">
        <f t="shared" si="12"/>
        <v>0</v>
      </c>
      <c r="E76" s="168">
        <f t="shared" si="12"/>
        <v>0</v>
      </c>
      <c r="F76" s="168">
        <f t="shared" si="12"/>
        <v>0</v>
      </c>
      <c r="G76" s="168">
        <f t="shared" si="12"/>
        <v>0</v>
      </c>
      <c r="H76" s="168">
        <f t="shared" si="12"/>
        <v>0</v>
      </c>
      <c r="I76" s="168">
        <f t="shared" si="12"/>
        <v>0</v>
      </c>
    </row>
    <row r="77" spans="1:9">
      <c r="A77" s="84">
        <f t="shared" si="0"/>
        <v>0</v>
      </c>
      <c r="B77" s="192"/>
      <c r="C77" s="168">
        <f t="shared" ref="C77:I77" si="13">$B77*C24</f>
        <v>0</v>
      </c>
      <c r="D77" s="168">
        <f t="shared" si="13"/>
        <v>0</v>
      </c>
      <c r="E77" s="168">
        <f t="shared" si="13"/>
        <v>0</v>
      </c>
      <c r="F77" s="168">
        <f t="shared" si="13"/>
        <v>0</v>
      </c>
      <c r="G77" s="168">
        <f t="shared" si="13"/>
        <v>0</v>
      </c>
      <c r="H77" s="168">
        <f t="shared" si="13"/>
        <v>0</v>
      </c>
      <c r="I77" s="168">
        <f t="shared" si="13"/>
        <v>0</v>
      </c>
    </row>
    <row r="78" spans="1:9">
      <c r="A78" s="84">
        <f t="shared" si="0"/>
        <v>0</v>
      </c>
      <c r="B78" s="192"/>
      <c r="C78" s="168">
        <f t="shared" ref="C78:I78" si="14">$B78*C25</f>
        <v>0</v>
      </c>
      <c r="D78" s="168">
        <f t="shared" si="14"/>
        <v>0</v>
      </c>
      <c r="E78" s="168">
        <f t="shared" si="14"/>
        <v>0</v>
      </c>
      <c r="F78" s="168">
        <f t="shared" si="14"/>
        <v>0</v>
      </c>
      <c r="G78" s="168">
        <f t="shared" si="14"/>
        <v>0</v>
      </c>
      <c r="H78" s="168">
        <f t="shared" si="14"/>
        <v>0</v>
      </c>
      <c r="I78" s="168">
        <f t="shared" si="14"/>
        <v>0</v>
      </c>
    </row>
    <row r="79" spans="1:9">
      <c r="A79" s="86" t="str">
        <f t="shared" si="0"/>
        <v>Summer</v>
      </c>
      <c r="B79" s="192"/>
      <c r="C79" s="168"/>
      <c r="D79" s="168"/>
      <c r="E79" s="168"/>
      <c r="F79" s="168"/>
      <c r="G79" s="168"/>
      <c r="H79" s="168"/>
      <c r="I79" s="168"/>
    </row>
    <row r="80" spans="1:9">
      <c r="A80" s="84" t="str">
        <f t="shared" si="0"/>
        <v>Groundnut</v>
      </c>
      <c r="B80" s="192"/>
      <c r="C80" s="168">
        <f t="shared" ref="C80:I80" si="15">$B80*C27</f>
        <v>0</v>
      </c>
      <c r="D80" s="168">
        <f t="shared" si="15"/>
        <v>0</v>
      </c>
      <c r="E80" s="168">
        <f t="shared" si="15"/>
        <v>0</v>
      </c>
      <c r="F80" s="168">
        <f t="shared" si="15"/>
        <v>0</v>
      </c>
      <c r="G80" s="168">
        <f t="shared" si="15"/>
        <v>0</v>
      </c>
      <c r="H80" s="168">
        <f t="shared" si="15"/>
        <v>0</v>
      </c>
      <c r="I80" s="168">
        <f t="shared" si="15"/>
        <v>0</v>
      </c>
    </row>
    <row r="81" spans="1:9">
      <c r="A81" s="84">
        <f t="shared" si="0"/>
        <v>0</v>
      </c>
      <c r="B81" s="192"/>
      <c r="C81" s="168">
        <f t="shared" ref="C81:I81" si="16">$B81*C28</f>
        <v>0</v>
      </c>
      <c r="D81" s="168">
        <f t="shared" si="16"/>
        <v>0</v>
      </c>
      <c r="E81" s="168">
        <f t="shared" si="16"/>
        <v>0</v>
      </c>
      <c r="F81" s="168">
        <f t="shared" si="16"/>
        <v>0</v>
      </c>
      <c r="G81" s="168">
        <f t="shared" si="16"/>
        <v>0</v>
      </c>
      <c r="H81" s="168">
        <f t="shared" si="16"/>
        <v>0</v>
      </c>
      <c r="I81" s="168">
        <f t="shared" si="16"/>
        <v>0</v>
      </c>
    </row>
    <row r="82" spans="1:9">
      <c r="A82" s="84">
        <f t="shared" si="0"/>
        <v>0</v>
      </c>
      <c r="B82" s="192"/>
      <c r="C82" s="168">
        <f t="shared" ref="C82:I82" si="17">$B82*C29</f>
        <v>0</v>
      </c>
      <c r="D82" s="168">
        <f t="shared" si="17"/>
        <v>0</v>
      </c>
      <c r="E82" s="168">
        <f t="shared" si="17"/>
        <v>0</v>
      </c>
      <c r="F82" s="168">
        <f t="shared" si="17"/>
        <v>0</v>
      </c>
      <c r="G82" s="168">
        <f t="shared" si="17"/>
        <v>0</v>
      </c>
      <c r="H82" s="168">
        <f t="shared" si="17"/>
        <v>0</v>
      </c>
      <c r="I82" s="168">
        <f t="shared" si="17"/>
        <v>0</v>
      </c>
    </row>
    <row r="83" spans="1:9">
      <c r="A83" s="84">
        <f t="shared" si="0"/>
        <v>0</v>
      </c>
      <c r="B83" s="192"/>
      <c r="C83" s="168">
        <f t="shared" ref="C83:I83" si="18">$B83*C30</f>
        <v>0</v>
      </c>
      <c r="D83" s="168">
        <f t="shared" si="18"/>
        <v>0</v>
      </c>
      <c r="E83" s="168">
        <f t="shared" si="18"/>
        <v>0</v>
      </c>
      <c r="F83" s="168">
        <f t="shared" si="18"/>
        <v>0</v>
      </c>
      <c r="G83" s="168">
        <f t="shared" si="18"/>
        <v>0</v>
      </c>
      <c r="H83" s="168">
        <f t="shared" si="18"/>
        <v>0</v>
      </c>
      <c r="I83" s="168">
        <f t="shared" si="18"/>
        <v>0</v>
      </c>
    </row>
    <row r="84" spans="1:9">
      <c r="A84" s="84">
        <f t="shared" si="0"/>
        <v>0</v>
      </c>
      <c r="B84" s="192"/>
      <c r="C84" s="168">
        <f t="shared" ref="C84:I84" si="19">$B84*C31</f>
        <v>0</v>
      </c>
      <c r="D84" s="168">
        <f t="shared" si="19"/>
        <v>0</v>
      </c>
      <c r="E84" s="168">
        <f t="shared" si="19"/>
        <v>0</v>
      </c>
      <c r="F84" s="168">
        <f t="shared" si="19"/>
        <v>0</v>
      </c>
      <c r="G84" s="168">
        <f t="shared" si="19"/>
        <v>0</v>
      </c>
      <c r="H84" s="168">
        <f t="shared" si="19"/>
        <v>0</v>
      </c>
      <c r="I84" s="168">
        <f t="shared" si="19"/>
        <v>0</v>
      </c>
    </row>
    <row r="85" spans="1:9">
      <c r="A85" s="86" t="str">
        <f t="shared" si="0"/>
        <v>Grain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180</v>
      </c>
      <c r="B113" s="84"/>
      <c r="C113" s="84"/>
      <c r="D113" s="84"/>
      <c r="E113" s="84"/>
      <c r="F113" s="84"/>
      <c r="G113" s="84"/>
      <c r="H113" s="84"/>
      <c r="I113" s="84"/>
    </row>
    <row r="114" spans="1:23">
      <c r="A114" s="84" t="s">
        <v>394</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174</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176</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175</v>
      </c>
      <c r="B117" s="192"/>
      <c r="C117" s="84"/>
      <c r="D117" s="84"/>
      <c r="E117" s="84"/>
      <c r="F117" s="84"/>
      <c r="G117" s="84"/>
      <c r="H117" s="84"/>
      <c r="I117" s="84"/>
    </row>
    <row r="118" spans="1:23">
      <c r="A118" s="84" t="s">
        <v>181</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182</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703" t="s">
        <v>560</v>
      </c>
      <c r="B122" s="703"/>
      <c r="C122" s="703"/>
      <c r="D122" s="703"/>
      <c r="E122" s="703"/>
      <c r="F122" s="703"/>
      <c r="G122" s="703"/>
      <c r="H122" s="703"/>
      <c r="I122" s="703"/>
      <c r="J122" s="703"/>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164</v>
      </c>
      <c r="J126" s="102" t="s">
        <v>163</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278</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str">
        <f t="shared" si="52"/>
        <v>Soybean</v>
      </c>
      <c r="B130" s="80"/>
      <c r="C130" s="192">
        <v>90</v>
      </c>
      <c r="D130" s="81">
        <f>(C62*(1-'5.Closing Stock &amp; W Capital'!$D$15))*$C$130*D$124</f>
        <v>0</v>
      </c>
      <c r="E130" s="81">
        <f>(D62*(1-'5.Closing Stock &amp; W Capital'!$D$15))*$C$130*E$124</f>
        <v>0</v>
      </c>
      <c r="F130" s="81">
        <f>(E62*(1-'5.Closing Stock &amp; W Capital'!$D$15))*$C$130*F$124</f>
        <v>0</v>
      </c>
      <c r="G130" s="81">
        <f>(F62*(1-'5.Closing Stock &amp; W Capital'!$D$15))*$C$130*G$124</f>
        <v>0</v>
      </c>
      <c r="H130" s="81">
        <f>(G62*(1-'5.Closing Stock &amp; W Capital'!$D$15))*$C$130*H$124</f>
        <v>0</v>
      </c>
      <c r="I130" s="81">
        <f>(H62*(1-'5.Closing Stock &amp; W Capital'!$D$15))*$C$130*I$124</f>
        <v>0</v>
      </c>
      <c r="J130" s="81">
        <f>(I62*(1-'5.Closing Stock &amp; W Capital'!$D$15))*$C$130*J$124</f>
        <v>0</v>
      </c>
      <c r="K130" s="79"/>
      <c r="U130" s="79"/>
      <c r="V130" s="79"/>
      <c r="W130" s="79"/>
    </row>
    <row r="131" spans="1:23">
      <c r="A131" s="80" t="str">
        <f t="shared" si="52"/>
        <v>Red Gram/Tur</v>
      </c>
      <c r="B131" s="80"/>
      <c r="C131" s="215">
        <v>80</v>
      </c>
      <c r="D131" s="81">
        <f>(C63*(1-'5.Closing Stock &amp; W Capital'!$D$15))*$C$131*D$124</f>
        <v>0</v>
      </c>
      <c r="E131" s="81">
        <f>((D63*(1-'5.Closing Stock &amp; W Capital'!$D$15))+(C63*'5.Closing Stock &amp; W Capital'!$D$15))*$C$131*E$124</f>
        <v>0</v>
      </c>
      <c r="F131" s="81">
        <f>((E63*(1-'5.Closing Stock &amp; W Capital'!$D$15))+(D63*'5.Closing Stock &amp; W Capital'!$D$15))*$C$131*F$124</f>
        <v>0</v>
      </c>
      <c r="G131" s="81">
        <f>((F63*(1-'5.Closing Stock &amp; W Capital'!$D$15))+(E63*'5.Closing Stock &amp; W Capital'!$D$15))*$C$131*G124</f>
        <v>0</v>
      </c>
      <c r="H131" s="81">
        <f>((G63*(1-'5.Closing Stock &amp; W Capital'!$D$15))+(F63*'5.Closing Stock &amp; W Capital'!$D$15))*$C$131*H124</f>
        <v>0</v>
      </c>
      <c r="I131" s="81">
        <f>((H63*(1-'5.Closing Stock &amp; W Capital'!$D$15))+(G63*'5.Closing Stock &amp; W Capital'!$D$15))*$C$131*I124</f>
        <v>0</v>
      </c>
      <c r="J131" s="81">
        <f>((I63*(1-'5.Closing Stock &amp; W Capital'!$D$15))+(H63*'5.Closing Stock &amp; W Capital'!$D$15))*$C$131*J124</f>
        <v>0</v>
      </c>
      <c r="K131" s="79"/>
      <c r="U131" s="143"/>
      <c r="V131" s="79"/>
      <c r="W131" s="79"/>
    </row>
    <row r="132" spans="1:23">
      <c r="A132" s="80" t="str">
        <f t="shared" si="52"/>
        <v>Paddy/Rice</v>
      </c>
      <c r="B132" s="80"/>
      <c r="C132" s="215">
        <v>65</v>
      </c>
      <c r="D132" s="81">
        <f>(C64*(1-'5.Closing Stock &amp; W Capital'!$D$15))*$C$132*D$124</f>
        <v>0</v>
      </c>
      <c r="E132" s="81">
        <f>((D64*(1-'5.Closing Stock &amp; W Capital'!$D$15))+(C64*'5.Closing Stock &amp; W Capital'!$D$15))*$C$132*E$124</f>
        <v>0</v>
      </c>
      <c r="F132" s="81">
        <f>((E64*(1-'5.Closing Stock &amp; W Capital'!$D$15))+(D64*'5.Closing Stock &amp; W Capital'!$D$15))*$C$132*F$124</f>
        <v>0</v>
      </c>
      <c r="G132" s="81">
        <f>((F64*(1-'5.Closing Stock &amp; W Capital'!$D$15))+(E64*'5.Closing Stock &amp; W Capital'!$D$15))*$C$132*G124</f>
        <v>0</v>
      </c>
      <c r="H132" s="81">
        <f>((G64*(1-'5.Closing Stock &amp; W Capital'!$D$15))+(F64*'5.Closing Stock &amp; W Capital'!$D$15))*$C$132*H124</f>
        <v>0</v>
      </c>
      <c r="I132" s="81">
        <f>((H64*(1-'5.Closing Stock &amp; W Capital'!$D$15))+(G64*'5.Closing Stock &amp; W Capital'!$D$15))*$C$132*I124</f>
        <v>0</v>
      </c>
      <c r="J132" s="81">
        <f>((I64*(1-'5.Closing Stock &amp; W Capital'!$D$15))+(H64*'5.Closing Stock &amp; W Capital'!$D$15))*$C$132*J124</f>
        <v>0</v>
      </c>
      <c r="K132" s="79"/>
      <c r="U132" s="79"/>
      <c r="V132" s="79"/>
      <c r="W132" s="79"/>
    </row>
    <row r="133" spans="1:23">
      <c r="A133" s="80" t="str">
        <f t="shared" si="52"/>
        <v>Green Gram/ Moong</v>
      </c>
      <c r="B133" s="80"/>
      <c r="C133" s="215">
        <v>85</v>
      </c>
      <c r="D133" s="81">
        <f>(C65*(1-'5.Closing Stock &amp; W Capital'!$D$15))*$C$133*D$124</f>
        <v>0</v>
      </c>
      <c r="E133" s="81">
        <f>((D65*(1-'5.Closing Stock &amp; W Capital'!$D$15))+(C65*'5.Closing Stock &amp; W Capital'!$D$15))*$C$133*E$124</f>
        <v>0</v>
      </c>
      <c r="F133" s="81">
        <f>((E65*(1-'5.Closing Stock &amp; W Capital'!$D$15))+(D65*'5.Closing Stock &amp; W Capital'!$D$15))*$C$133*F$124</f>
        <v>0</v>
      </c>
      <c r="G133" s="81">
        <f>((F65*(1-'5.Closing Stock &amp; W Capital'!$D$15))+(E65*'5.Closing Stock &amp; W Capital'!$D$15))*$C$133*G$124</f>
        <v>0</v>
      </c>
      <c r="H133" s="81">
        <f>((G65*(1-'5.Closing Stock &amp; W Capital'!$D$15))+(F65*'5.Closing Stock &amp; W Capital'!$D$15))*$C$133*H$124</f>
        <v>0</v>
      </c>
      <c r="I133" s="81">
        <f>((H65*(1-'5.Closing Stock &amp; W Capital'!$D$15))+(G65*'5.Closing Stock &amp; W Capital'!$D$15))*$C$133*I$124</f>
        <v>0</v>
      </c>
      <c r="J133" s="81">
        <f>((I65*(1-'5.Closing Stock &amp; W Capital'!$D$15))+(H65*'5.Closing Stock &amp; W Capital'!$D$15))*$C$133*J$124</f>
        <v>0</v>
      </c>
      <c r="K133" s="79"/>
      <c r="U133" s="79"/>
      <c r="V133" s="79"/>
      <c r="W133" s="79"/>
    </row>
    <row r="134" spans="1:23">
      <c r="A134" s="80" t="str">
        <f t="shared" si="52"/>
        <v>Maize</v>
      </c>
      <c r="B134" s="80"/>
      <c r="C134" s="215">
        <v>37</v>
      </c>
      <c r="D134" s="81">
        <f>(C66*(1-'5.Closing Stock &amp; W Capital'!$D$15))*$C$134*D$124</f>
        <v>0</v>
      </c>
      <c r="E134" s="81">
        <f>((D66*(1-'5.Closing Stock &amp; W Capital'!$D$15))+(C66*'5.Closing Stock &amp; W Capital'!$D$15))*$C$135*E$124</f>
        <v>0</v>
      </c>
      <c r="F134" s="81">
        <f>((E66*(1-'5.Closing Stock &amp; W Capital'!$D$15))+(D66*'5.Closing Stock &amp; W Capital'!$D$15))*$C$135*F$124</f>
        <v>0</v>
      </c>
      <c r="G134" s="81">
        <f>((F66*(1-'5.Closing Stock &amp; W Capital'!$D$15))+(E66*'5.Closing Stock &amp; W Capital'!$D$15))*$C$135*G$124</f>
        <v>0</v>
      </c>
      <c r="H134" s="81">
        <f>((G66*(1-'5.Closing Stock &amp; W Capital'!$D$15))+(F66*'5.Closing Stock &amp; W Capital'!$D$15))*$C$135*H$124</f>
        <v>0</v>
      </c>
      <c r="I134" s="81">
        <f>((H66*(1-'5.Closing Stock &amp; W Capital'!$D$15))+(G66*'5.Closing Stock &amp; W Capital'!$D$15))*$C$135*I$124</f>
        <v>0</v>
      </c>
      <c r="J134" s="81">
        <f>((I66*(1-'5.Closing Stock &amp; W Capital'!$D$15))+(H66*'5.Closing Stock &amp; W Capital'!$D$15))*$C$135*J$124</f>
        <v>0</v>
      </c>
      <c r="K134" s="79"/>
      <c r="U134" s="79"/>
      <c r="V134" s="79"/>
      <c r="W134" s="79"/>
    </row>
    <row r="135" spans="1:23">
      <c r="A135" s="80" t="str">
        <f t="shared" si="52"/>
        <v>Black Gram/Udid</v>
      </c>
      <c r="B135" s="80"/>
      <c r="C135" s="215">
        <v>75</v>
      </c>
      <c r="D135" s="81">
        <f>(C67*(1-'5.Closing Stock &amp; W Capital'!$D$15))*$C$135*D$124</f>
        <v>0</v>
      </c>
      <c r="E135" s="81">
        <f>((D67*(1-'5.Closing Stock &amp; W Capital'!$D$15))+(C67*'5.Closing Stock &amp; W Capital'!$D$15))*$C$135*E$124</f>
        <v>0</v>
      </c>
      <c r="F135" s="81">
        <f>((E67*(1-'5.Closing Stock &amp; W Capital'!$D$15))+(D67*'5.Closing Stock &amp; W Capital'!$D$15))*$C$135*F$124</f>
        <v>0</v>
      </c>
      <c r="G135" s="81">
        <f>((F67*(1-'5.Closing Stock &amp; W Capital'!$D$15))+(E67*'5.Closing Stock &amp; W Capital'!$D$15))*$C$135*G$124</f>
        <v>0</v>
      </c>
      <c r="H135" s="81">
        <f>((G67*(1-'5.Closing Stock &amp; W Capital'!$D$15))+(F67*'5.Closing Stock &amp; W Capital'!$D$15))*$C$135*H$124</f>
        <v>0</v>
      </c>
      <c r="I135" s="81">
        <f>((H67*(1-'5.Closing Stock &amp; W Capital'!$D$15))+(G67*'5.Closing Stock &amp; W Capital'!$D$15))*$C$135*I$124</f>
        <v>0</v>
      </c>
      <c r="J135" s="81">
        <f>((I67*(1-'5.Closing Stock &amp; W Capital'!$D$15))+(H67*'5.Closing Stock &amp; W Capital'!$D$15))*$C$135*J$124</f>
        <v>0</v>
      </c>
      <c r="K135" s="79"/>
      <c r="U135" s="79"/>
      <c r="V135" s="79"/>
      <c r="W135" s="79"/>
    </row>
    <row r="136" spans="1:23">
      <c r="A136" s="80" t="str">
        <f t="shared" si="52"/>
        <v>Bajra</v>
      </c>
      <c r="B136" s="80"/>
      <c r="C136" s="215">
        <v>30</v>
      </c>
      <c r="D136" s="81">
        <f>(C68*(1-'5.Closing Stock &amp; W Capital'!$D$15))*$C$136*D$124</f>
        <v>0</v>
      </c>
      <c r="E136" s="81">
        <f>((D68*(1-'5.Closing Stock &amp; W Capital'!$D$15))+(C68*'5.Closing Stock &amp; W Capital'!$D$15))*$C$136*E$124</f>
        <v>0</v>
      </c>
      <c r="F136" s="81">
        <f>((E68*(1-'5.Closing Stock &amp; W Capital'!$D$15))+(D68*'5.Closing Stock &amp; W Capital'!$D$15))*$C$136*F$124</f>
        <v>0</v>
      </c>
      <c r="G136" s="81">
        <f>((F68*(1-'5.Closing Stock &amp; W Capital'!$D$15))+(E68*'5.Closing Stock &amp; W Capital'!$D$15))*$C$136*G$124</f>
        <v>0</v>
      </c>
      <c r="H136" s="81">
        <f>((G68*(1-'5.Closing Stock &amp; W Capital'!$D$15))+(F68*'5.Closing Stock &amp; W Capital'!$D$15))*$C$136*H$124</f>
        <v>0</v>
      </c>
      <c r="I136" s="81">
        <f>((H68*(1-'5.Closing Stock &amp; W Capital'!$D$15))+(G68*'5.Closing Stock &amp; W Capital'!$D$15))*$C$136*I$124</f>
        <v>0</v>
      </c>
      <c r="J136" s="81">
        <f>((I68*(1-'5.Closing Stock &amp; W Capital'!$D$15))+(H68*'5.Closing Stock &amp; W Capital'!$D$15))*$C$136*J$124</f>
        <v>0</v>
      </c>
      <c r="K136" s="79"/>
      <c r="U136" s="79"/>
      <c r="V136" s="79"/>
      <c r="W136" s="79"/>
    </row>
    <row r="137" spans="1:23">
      <c r="A137" s="80" t="str">
        <f t="shared" si="52"/>
        <v>Jawar</v>
      </c>
      <c r="B137" s="80"/>
      <c r="C137" s="215">
        <v>30</v>
      </c>
      <c r="D137" s="81">
        <f>(C69*(1-'5.Closing Stock &amp; W Capital'!$D$15))*$C$137*D$124</f>
        <v>0</v>
      </c>
      <c r="E137" s="81">
        <f>((D69*(1-'5.Closing Stock &amp; W Capital'!$D$15))+(C69*'5.Closing Stock &amp; W Capital'!$D$15))*$C$137*E$124</f>
        <v>0</v>
      </c>
      <c r="F137" s="81">
        <f>((E69*(1-'5.Closing Stock &amp; W Capital'!$D$15))+(D69*'5.Closing Stock &amp; W Capital'!$D$15))*$C$137*F$124</f>
        <v>0</v>
      </c>
      <c r="G137" s="81">
        <f>((F69*(1-'5.Closing Stock &amp; W Capital'!$D$15))+(E69*'5.Closing Stock &amp; W Capital'!$D$15))*$C$137*G$124</f>
        <v>0</v>
      </c>
      <c r="H137" s="81">
        <f>((G69*(1-'5.Closing Stock &amp; W Capital'!$D$15))+(F69*'5.Closing Stock &amp; W Capital'!$D$15))*$C$137*H$124</f>
        <v>0</v>
      </c>
      <c r="I137" s="81">
        <f>((H69*(1-'5.Closing Stock &amp; W Capital'!$D$15))+(G69*'5.Closing Stock &amp; W Capital'!$D$15))*$C$137*I$124</f>
        <v>0</v>
      </c>
      <c r="J137" s="81">
        <f>((I69*(1-'5.Closing Stock &amp; W Capital'!$D$15))+(H69*'5.Closing Stock &amp; W Capital'!$D$15))*$C$137*J$124</f>
        <v>0</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str">
        <f t="shared" si="52"/>
        <v>Wheat</v>
      </c>
      <c r="B139" s="80"/>
      <c r="C139" s="215">
        <v>40</v>
      </c>
      <c r="D139" s="81">
        <f>(C71*(1-'5.Closing Stock &amp; W Capital'!$D$15))*$C$139*D$124</f>
        <v>0</v>
      </c>
      <c r="E139" s="81">
        <f>((D71*(1-'5.Closing Stock &amp; W Capital'!$D$15))+(C71*'5.Closing Stock &amp; W Capital'!$D$15))*$C$139*E$124</f>
        <v>0</v>
      </c>
      <c r="F139" s="81">
        <f>((E71*(1-'5.Closing Stock &amp; W Capital'!$D$15))+(D71*'5.Closing Stock &amp; W Capital'!$D$15))*$C$139*F$124</f>
        <v>0</v>
      </c>
      <c r="G139" s="81">
        <f>((F71*(1-'5.Closing Stock &amp; W Capital'!$D$15))+(E71*'5.Closing Stock &amp; W Capital'!$D$15))*$C$139*G$124</f>
        <v>0</v>
      </c>
      <c r="H139" s="81">
        <f>((G71*(1-'5.Closing Stock &amp; W Capital'!$D$15))+(F71*'5.Closing Stock &amp; W Capital'!$D$15))*$C$139*H$124</f>
        <v>0</v>
      </c>
      <c r="I139" s="81">
        <f>((H71*(1-'5.Closing Stock &amp; W Capital'!$D$15))+(G71*'5.Closing Stock &amp; W Capital'!$D$15))*$C$139*I$124</f>
        <v>0</v>
      </c>
      <c r="J139" s="81">
        <f>((I71*(1-'5.Closing Stock &amp; W Capital'!$D$15))+(H71*'5.Closing Stock &amp; W Capital'!$D$15))*$C$139*J$124</f>
        <v>0</v>
      </c>
      <c r="K139" s="79"/>
      <c r="U139" s="79"/>
      <c r="V139" s="79"/>
      <c r="W139" s="79"/>
    </row>
    <row r="140" spans="1:23">
      <c r="A140" s="80" t="str">
        <f t="shared" si="52"/>
        <v>Bengal Gram/Channa</v>
      </c>
      <c r="B140" s="80"/>
      <c r="C140" s="215">
        <v>75</v>
      </c>
      <c r="D140" s="81">
        <f>(C72*(1-'5.Closing Stock &amp; W Capital'!$D$15))*$C$140*D$124</f>
        <v>0</v>
      </c>
      <c r="E140" s="81">
        <f>((D72*(1-'5.Closing Stock &amp; W Capital'!$D$15))+(C72*'5.Closing Stock &amp; W Capital'!$D$15))*$C$140*E$124</f>
        <v>0</v>
      </c>
      <c r="F140" s="81">
        <f>((E72*(1-'5.Closing Stock &amp; W Capital'!$D$15))+(D72*'5.Closing Stock &amp; W Capital'!$D$15))*$C$140*F$124</f>
        <v>0</v>
      </c>
      <c r="G140" s="81">
        <f>((F72*(1-'5.Closing Stock &amp; W Capital'!$D$15))+(E72*'5.Closing Stock &amp; W Capital'!$D$15))*$C$140*G$124</f>
        <v>0</v>
      </c>
      <c r="H140" s="81">
        <f>((G72*(1-'5.Closing Stock &amp; W Capital'!$D$15))+(F72*'5.Closing Stock &amp; W Capital'!$D$15))*$C$140*H$124</f>
        <v>0</v>
      </c>
      <c r="I140" s="81">
        <f>((H72*(1-'5.Closing Stock &amp; W Capital'!$D$15))+(G72*'5.Closing Stock &amp; W Capital'!$D$15))*$C$140*I$124</f>
        <v>0</v>
      </c>
      <c r="J140" s="81">
        <f>((I72*(1-'5.Closing Stock &amp; W Capital'!$D$15))+(H72*'5.Closing Stock &amp; W Capital'!$D$15))*$C$140*J$124</f>
        <v>0</v>
      </c>
      <c r="K140" s="79"/>
      <c r="U140" s="79"/>
      <c r="V140" s="79"/>
      <c r="W140" s="79"/>
    </row>
    <row r="141" spans="1:23">
      <c r="A141" s="80" t="str">
        <f t="shared" si="52"/>
        <v>Jawar</v>
      </c>
      <c r="B141" s="80"/>
      <c r="C141" s="215">
        <v>27</v>
      </c>
      <c r="D141" s="81">
        <f>(C73*(1-'5.Closing Stock &amp; W Capital'!$D$15))*$C$141*D$124</f>
        <v>0</v>
      </c>
      <c r="E141" s="81">
        <f>((D73*(1-'5.Closing Stock &amp; W Capital'!$D$15))+(C73*'5.Closing Stock &amp; W Capital'!$D$15))*$C$141*E$124</f>
        <v>0</v>
      </c>
      <c r="F141" s="81">
        <f>((E73*(1-'5.Closing Stock &amp; W Capital'!$D$15))+(D73*'5.Closing Stock &amp; W Capital'!$D$15))*$C$141*F$124</f>
        <v>0</v>
      </c>
      <c r="G141" s="81">
        <f>((F73*(1-'5.Closing Stock &amp; W Capital'!$D$15))+(E73*'5.Closing Stock &amp; W Capital'!$D$15))*$C$141*G$124</f>
        <v>0</v>
      </c>
      <c r="H141" s="81">
        <f>((G73*(1-'5.Closing Stock &amp; W Capital'!$D$15))+(F73*'5.Closing Stock &amp; W Capital'!$D$15))*$C$141*H$124</f>
        <v>0</v>
      </c>
      <c r="I141" s="81">
        <f>((H73*(1-'5.Closing Stock &amp; W Capital'!$D$15))+(G73*'5.Closing Stock &amp; W Capital'!$D$15))*$C$141*I$124</f>
        <v>0</v>
      </c>
      <c r="J141" s="81">
        <f>((I73*(1-'5.Closing Stock &amp; W Capital'!$D$15))+(H73*'5.Closing Stock &amp; W Capital'!$D$15))*$C$141*J$124</f>
        <v>0</v>
      </c>
      <c r="K141" s="79"/>
      <c r="U141" s="79"/>
      <c r="V141" s="79"/>
      <c r="W141" s="79"/>
    </row>
    <row r="142" spans="1:23">
      <c r="A142" s="80" t="str">
        <f t="shared" si="52"/>
        <v>Maize</v>
      </c>
      <c r="B142" s="80"/>
      <c r="C142" s="215">
        <v>27</v>
      </c>
      <c r="D142" s="81">
        <f>(C74*(1-'5.Closing Stock &amp; W Capital'!$D$15))*$C$142*D$124</f>
        <v>0</v>
      </c>
      <c r="E142" s="81">
        <f>((D74*(1-'5.Closing Stock &amp; W Capital'!$D$15))+(C74*'5.Closing Stock &amp; W Capital'!$D$15))*$C$142*E$124</f>
        <v>0</v>
      </c>
      <c r="F142" s="81">
        <f>((E74*(1-'5.Closing Stock &amp; W Capital'!$D$15))+(D74*'5.Closing Stock &amp; W Capital'!$D$15))*$C$142*F$124</f>
        <v>0</v>
      </c>
      <c r="G142" s="81">
        <f>((F74*(1-'5.Closing Stock &amp; W Capital'!$D$15))+(E74*'5.Closing Stock &amp; W Capital'!$D$15))*$C$142*G$124</f>
        <v>0</v>
      </c>
      <c r="H142" s="81">
        <f>((G74*(1-'5.Closing Stock &amp; W Capital'!$D$15))+(F74*'5.Closing Stock &amp; W Capital'!$D$15))*$C$142*H$124</f>
        <v>0</v>
      </c>
      <c r="I142" s="81">
        <f>((H74*(1-'5.Closing Stock &amp; W Capital'!$D$15))+(G74*'5.Closing Stock &amp; W Capital'!$D$15))*$C$142*I$124</f>
        <v>0</v>
      </c>
      <c r="J142" s="81">
        <f>((I74*(1-'5.Closing Stock &amp; W Capital'!$D$15))+(H74*'5.Closing Stock &amp; W Capital'!$D$15))*$C$142*J$124</f>
        <v>0</v>
      </c>
      <c r="K142" s="79"/>
      <c r="U142" s="79"/>
      <c r="V142" s="79"/>
      <c r="W142" s="79"/>
    </row>
    <row r="143" spans="1:23">
      <c r="A143" s="80" t="str">
        <f t="shared" si="52"/>
        <v>Safflower</v>
      </c>
      <c r="B143" s="80"/>
      <c r="C143" s="215"/>
      <c r="D143" s="81">
        <f>(C75*(1-'5.Closing Stock &amp; W Capital'!$D$15))*$C$143*D$124</f>
        <v>0</v>
      </c>
      <c r="E143" s="81">
        <f>((D75*(1-'5.Closing Stock &amp; W Capital'!$D$15))+(C75*'5.Closing Stock &amp; W Capital'!$D$15))*$C$143*E$124</f>
        <v>0</v>
      </c>
      <c r="F143" s="81">
        <f>((E75*(1-'5.Closing Stock &amp; W Capital'!$D$15))+(D75*'5.Closing Stock &amp; W Capital'!$D$15))*$C$143*F$124</f>
        <v>0</v>
      </c>
      <c r="G143" s="81">
        <f>((F75*(1-'5.Closing Stock &amp; W Capital'!$D$15))+(E75*'5.Closing Stock &amp; W Capital'!$D$15))*$C$143*G$124</f>
        <v>0</v>
      </c>
      <c r="H143" s="81">
        <f>((G75*(1-'5.Closing Stock &amp; W Capital'!$D$15))+(F75*'5.Closing Stock &amp; W Capital'!$D$15))*$C$143*H$124</f>
        <v>0</v>
      </c>
      <c r="I143" s="81">
        <f>((H75*(1-'5.Closing Stock &amp; W Capital'!$D$15))+(G75*'5.Closing Stock &amp; W Capital'!$D$15))*$C$143*I$124</f>
        <v>0</v>
      </c>
      <c r="J143" s="81">
        <f>((I75*(1-'5.Closing Stock &amp; W Capital'!$D$15))+(H75*'5.Closing Stock &amp; W Capital'!$D$15))*$C$143*J$124</f>
        <v>0</v>
      </c>
      <c r="K143" s="79"/>
      <c r="U143" s="79"/>
      <c r="V143" s="79"/>
      <c r="W143" s="79"/>
    </row>
    <row r="144" spans="1:23">
      <c r="A144" s="80">
        <f t="shared" si="52"/>
        <v>0</v>
      </c>
      <c r="B144" s="80"/>
      <c r="C144" s="215"/>
      <c r="D144" s="81">
        <f>(C76*(1-'5.Closing Stock &amp; W Capital'!$D$15))*$C$144*D$124</f>
        <v>0</v>
      </c>
      <c r="E144" s="81">
        <f>((D76*(1-'5.Closing Stock &amp; W Capital'!$D$15))+(C76*'5.Closing Stock &amp; W Capital'!$D$15))*$C$144*E$124</f>
        <v>0</v>
      </c>
      <c r="F144" s="81">
        <f>((E76*(1-'5.Closing Stock &amp; W Capital'!$D$15))+(D76*'5.Closing Stock &amp; W Capital'!$D$15))*$C$144*F$124</f>
        <v>0</v>
      </c>
      <c r="G144" s="81">
        <f>((F76*(1-'5.Closing Stock &amp; W Capital'!$D$15))+(E76*'5.Closing Stock &amp; W Capital'!$D$15))*$C$144*G$124</f>
        <v>0</v>
      </c>
      <c r="H144" s="81">
        <f>((G76*(1-'5.Closing Stock &amp; W Capital'!$D$15))+(F76*'5.Closing Stock &amp; W Capital'!$D$15))*$C$144*H$124</f>
        <v>0</v>
      </c>
      <c r="I144" s="81">
        <f>((H76*(1-'5.Closing Stock &amp; W Capital'!$D$15))+(G76*'5.Closing Stock &amp; W Capital'!$D$15))*$C$144*I$124</f>
        <v>0</v>
      </c>
      <c r="J144" s="81">
        <f>((I76*(1-'5.Closing Stock &amp; W Capital'!$D$15))+(H76*'5.Closing Stock &amp; W Capital'!$D$15))*$C$144*J$124</f>
        <v>0</v>
      </c>
      <c r="K144" s="79"/>
      <c r="U144" s="79"/>
      <c r="V144" s="79"/>
      <c r="W144" s="79"/>
    </row>
    <row r="145" spans="1:23">
      <c r="A145" s="80">
        <f t="shared" si="52"/>
        <v>0</v>
      </c>
      <c r="B145" s="80"/>
      <c r="C145" s="215"/>
      <c r="D145" s="81">
        <f>(C77*(1-'5.Closing Stock &amp; W Capital'!$D$15))*$C$145*D$124</f>
        <v>0</v>
      </c>
      <c r="E145" s="81">
        <f>((D77*(1-'5.Closing Stock &amp; W Capital'!$D$15))+(C77*'5.Closing Stock &amp; W Capital'!$D$15))*$C$145*E$124</f>
        <v>0</v>
      </c>
      <c r="F145" s="81">
        <f>((E77*(1-'5.Closing Stock &amp; W Capital'!$D$15))+(D77*'5.Closing Stock &amp; W Capital'!$D$15))*$C$145*F$124</f>
        <v>0</v>
      </c>
      <c r="G145" s="81">
        <f>((F77*(1-'5.Closing Stock &amp; W Capital'!$D$15))+(E77*'5.Closing Stock &amp; W Capital'!$D$15))*$C$145*G$124</f>
        <v>0</v>
      </c>
      <c r="H145" s="81">
        <f>((G77*(1-'5.Closing Stock &amp; W Capital'!$D$15))+(F77*'5.Closing Stock &amp; W Capital'!$D$15))*$C$145*H$124</f>
        <v>0</v>
      </c>
      <c r="I145" s="81">
        <f>((H77*(1-'5.Closing Stock &amp; W Capital'!$D$15))+(G77*'5.Closing Stock &amp; W Capital'!$D$15))*$C$145*I$124</f>
        <v>0</v>
      </c>
      <c r="J145" s="81">
        <f>((I77*(1-'5.Closing Stock &amp; W Capital'!$D$15))+(H77*'5.Closing Stock &amp; W Capital'!$D$15))*$C$145*J$124</f>
        <v>0</v>
      </c>
      <c r="K145" s="79"/>
      <c r="U145" s="79"/>
      <c r="V145" s="79"/>
      <c r="W145" s="79"/>
    </row>
    <row r="146" spans="1:23">
      <c r="A146" s="80">
        <f t="shared" si="52"/>
        <v>0</v>
      </c>
      <c r="B146" s="80"/>
      <c r="C146" s="215"/>
      <c r="D146" s="81">
        <f>(C78*(1-'5.Closing Stock &amp; W Capital'!$D$15))*$C$146*D$124</f>
        <v>0</v>
      </c>
      <c r="E146" s="81">
        <f>((D78*(1-'5.Closing Stock &amp; W Capital'!$D$15))+(C78*'5.Closing Stock &amp; W Capital'!$D$15))*$C$146*E$124</f>
        <v>0</v>
      </c>
      <c r="F146" s="81">
        <f>((E78*(1-'5.Closing Stock &amp; W Capital'!$D$15))+(D78*'5.Closing Stock &amp; W Capital'!$D$15))*$C$146*F$124</f>
        <v>0</v>
      </c>
      <c r="G146" s="81">
        <f>((F78*(1-'5.Closing Stock &amp; W Capital'!$D$15))+(E78*'5.Closing Stock &amp; W Capital'!$D$15))*$C$146*G$124</f>
        <v>0</v>
      </c>
      <c r="H146" s="81">
        <f>((G78*(1-'5.Closing Stock &amp; W Capital'!$D$15))+(F78*'5.Closing Stock &amp; W Capital'!$D$15))*$C$146*H$124</f>
        <v>0</v>
      </c>
      <c r="I146" s="81">
        <f>((H78*(1-'5.Closing Stock &amp; W Capital'!$D$15))+(G78*'5.Closing Stock &amp; W Capital'!$D$15))*$C$146*I$124</f>
        <v>0</v>
      </c>
      <c r="J146" s="81">
        <f>((I78*(1-'5.Closing Stock &amp; W Capital'!$D$15))+(H78*'5.Closing Stock &amp; W Capital'!$D$15))*$C$146*J$124</f>
        <v>0</v>
      </c>
      <c r="K146" s="79"/>
      <c r="U146" s="79"/>
      <c r="V146" s="79"/>
      <c r="W146" s="79"/>
    </row>
    <row r="147" spans="1:23">
      <c r="A147" s="82" t="str">
        <f t="shared" si="52"/>
        <v>Summer</v>
      </c>
      <c r="B147" s="80"/>
      <c r="C147" s="215"/>
      <c r="D147" s="81"/>
      <c r="E147" s="81"/>
      <c r="F147" s="81"/>
      <c r="G147" s="81"/>
      <c r="H147" s="81"/>
      <c r="I147" s="81"/>
      <c r="J147" s="81"/>
      <c r="K147" s="79"/>
      <c r="U147" s="79"/>
      <c r="V147" s="79"/>
      <c r="W147" s="79"/>
    </row>
    <row r="148" spans="1:23">
      <c r="A148" s="80" t="str">
        <f t="shared" si="52"/>
        <v>Groundnut</v>
      </c>
      <c r="B148" s="80"/>
      <c r="C148" s="215"/>
      <c r="D148" s="81">
        <f>(C80*(1-'5.Closing Stock &amp; W Capital'!$D$15))*$C$148*D$124</f>
        <v>0</v>
      </c>
      <c r="E148" s="81">
        <f>((D80*(1-'5.Closing Stock &amp; W Capital'!$D$15))+(C80*'5.Closing Stock &amp; W Capital'!$D$15))*$C$148*E$124</f>
        <v>0</v>
      </c>
      <c r="F148" s="81">
        <f>((E80*(1-'5.Closing Stock &amp; W Capital'!$D$15))+(D80*'5.Closing Stock &amp; W Capital'!$D$15))*$C$148*F$124</f>
        <v>0</v>
      </c>
      <c r="G148" s="81">
        <f>((F80*(1-'5.Closing Stock &amp; W Capital'!$D$15))+(E80*'5.Closing Stock &amp; W Capital'!$D$15))*$C$148*G$124</f>
        <v>0</v>
      </c>
      <c r="H148" s="81">
        <f>((G80*(1-'5.Closing Stock &amp; W Capital'!$D$15))+(F80*'5.Closing Stock &amp; W Capital'!$D$15))*$C$148*H$124</f>
        <v>0</v>
      </c>
      <c r="I148" s="81">
        <f>((H80*(1-'5.Closing Stock &amp; W Capital'!$D$15))+(G80*'5.Closing Stock &amp; W Capital'!$D$15))*$C$148*I$124</f>
        <v>0</v>
      </c>
      <c r="J148" s="81">
        <f>((I80*(1-'5.Closing Stock &amp; W Capital'!$D$15))+(H80*'5.Closing Stock &amp; W Capital'!$D$15))*$C$148*J$124</f>
        <v>0</v>
      </c>
      <c r="K148" s="79"/>
      <c r="U148" s="79"/>
      <c r="V148" s="79"/>
      <c r="W148" s="79"/>
    </row>
    <row r="149" spans="1:23">
      <c r="A149" s="80">
        <f t="shared" si="52"/>
        <v>0</v>
      </c>
      <c r="B149" s="80"/>
      <c r="C149" s="215"/>
      <c r="D149" s="81">
        <f>(C81*(1-'5.Closing Stock &amp; W Capital'!$D$15))*$C$149*D$124</f>
        <v>0</v>
      </c>
      <c r="E149" s="81">
        <f>((D81*(1-'5.Closing Stock &amp; W Capital'!$D$15))+(C81*'5.Closing Stock &amp; W Capital'!$D$15))*$C$149*E$124</f>
        <v>0</v>
      </c>
      <c r="F149" s="81">
        <f>((E81*(1-'5.Closing Stock &amp; W Capital'!$D$15))+(D81*'5.Closing Stock &amp; W Capital'!$D$15))*$C$149*F$124</f>
        <v>0</v>
      </c>
      <c r="G149" s="81">
        <f>((F81*(1-'5.Closing Stock &amp; W Capital'!$D$15))+(E81*'5.Closing Stock &amp; W Capital'!$D$15))*$C$149*G$124</f>
        <v>0</v>
      </c>
      <c r="H149" s="81">
        <f>((G81*(1-'5.Closing Stock &amp; W Capital'!$D$15))+(F81*'5.Closing Stock &amp; W Capital'!$D$15))*$C$149*H$124</f>
        <v>0</v>
      </c>
      <c r="I149" s="81">
        <f>((H81*(1-'5.Closing Stock &amp; W Capital'!$D$15))+(G81*'5.Closing Stock &amp; W Capital'!$D$15))*$C$149*I$124</f>
        <v>0</v>
      </c>
      <c r="J149" s="81">
        <f>((I81*(1-'5.Closing Stock &amp; W Capital'!$D$15))+(H81*'5.Closing Stock &amp; W Capital'!$D$15))*$C$149*J$124</f>
        <v>0</v>
      </c>
      <c r="K149" s="79"/>
      <c r="U149" s="79"/>
      <c r="V149" s="79"/>
      <c r="W149" s="79"/>
    </row>
    <row r="150" spans="1:23">
      <c r="A150" s="80">
        <f t="shared" si="52"/>
        <v>0</v>
      </c>
      <c r="B150" s="80"/>
      <c r="C150" s="215"/>
      <c r="D150" s="81">
        <f>(C82*(1-'5.Closing Stock &amp; W Capital'!$D$15))*$C$150*D$124</f>
        <v>0</v>
      </c>
      <c r="E150" s="81">
        <f>((D82*(1-'5.Closing Stock &amp; W Capital'!$D$15))+(C82*'5.Closing Stock &amp; W Capital'!$D$15))*$C$150*E$124</f>
        <v>0</v>
      </c>
      <c r="F150" s="81">
        <f>((E82*(1-'5.Closing Stock &amp; W Capital'!$D$15))+(D82*'5.Closing Stock &amp; W Capital'!$D$15))*$C$150*F$124</f>
        <v>0</v>
      </c>
      <c r="G150" s="81">
        <f>((F82*(1-'5.Closing Stock &amp; W Capital'!$D$15))+(E82*'5.Closing Stock &amp; W Capital'!$D$15))*$C$150*G$124</f>
        <v>0</v>
      </c>
      <c r="H150" s="81">
        <f>((G82*(1-'5.Closing Stock &amp; W Capital'!$D$15))+(F82*'5.Closing Stock &amp; W Capital'!$D$15))*$C$150*H$124</f>
        <v>0</v>
      </c>
      <c r="I150" s="81">
        <f>((H82*(1-'5.Closing Stock &amp; W Capital'!$D$15))+(G82*'5.Closing Stock &amp; W Capital'!$D$15))*$C$150*I$124</f>
        <v>0</v>
      </c>
      <c r="J150" s="81">
        <f>((I82*(1-'5.Closing Stock &amp; W Capital'!$D$15))+(H82*'5.Closing Stock &amp; W Capital'!$D$15))*$C$150*J$124</f>
        <v>0</v>
      </c>
      <c r="K150" s="79"/>
      <c r="U150" s="79"/>
      <c r="V150" s="79"/>
      <c r="W150" s="79"/>
    </row>
    <row r="151" spans="1:23">
      <c r="A151" s="80">
        <f t="shared" si="52"/>
        <v>0</v>
      </c>
      <c r="B151" s="80"/>
      <c r="C151" s="215"/>
      <c r="D151" s="81">
        <f>(C83*(1-'5.Closing Stock &amp; W Capital'!$D$15))*$C$151*D$124</f>
        <v>0</v>
      </c>
      <c r="E151" s="81">
        <f>((D83*(1-'5.Closing Stock &amp; W Capital'!$D$15))+(C83*'5.Closing Stock &amp; W Capital'!$D$15))*$C$151*E$124</f>
        <v>0</v>
      </c>
      <c r="F151" s="81">
        <f>((E83*(1-'5.Closing Stock &amp; W Capital'!$D$15))+(D83*'5.Closing Stock &amp; W Capital'!$D$15))*$C$151*F$124</f>
        <v>0</v>
      </c>
      <c r="G151" s="81">
        <f>((F83*(1-'5.Closing Stock &amp; W Capital'!$D$15))+(E83*'5.Closing Stock &amp; W Capital'!$D$15))*$C$151*G$124</f>
        <v>0</v>
      </c>
      <c r="H151" s="81">
        <f>((G83*(1-'5.Closing Stock &amp; W Capital'!$D$15))+(F83*'5.Closing Stock &amp; W Capital'!$D$15))*$C$151*H$124</f>
        <v>0</v>
      </c>
      <c r="I151" s="81">
        <f>((H83*(1-'5.Closing Stock &amp; W Capital'!$D$15))+(G83*'5.Closing Stock &amp; W Capital'!$D$15))*$C$151*I$124</f>
        <v>0</v>
      </c>
      <c r="J151" s="81">
        <f>((I83*(1-'5.Closing Stock &amp; W Capital'!$D$15))+(H83*'5.Closing Stock &amp; W Capital'!$D$15))*$C$151*J$124</f>
        <v>0</v>
      </c>
      <c r="K151" s="79"/>
      <c r="U151" s="79"/>
      <c r="V151" s="79"/>
      <c r="W151" s="79"/>
    </row>
    <row r="152" spans="1:23">
      <c r="A152" s="80">
        <f t="shared" si="52"/>
        <v>0</v>
      </c>
      <c r="B152" s="80"/>
      <c r="C152" s="215"/>
      <c r="D152" s="81">
        <f>(C84*(1-'5.Closing Stock &amp; W Capital'!$D$15))*$C$152*D$124</f>
        <v>0</v>
      </c>
      <c r="E152" s="81">
        <f>((D84*(1-'5.Closing Stock &amp; W Capital'!$D$15))+(C84*'5.Closing Stock &amp; W Capital'!$D$15))*$C$152*E$124</f>
        <v>0</v>
      </c>
      <c r="F152" s="81">
        <f>((E84*(1-'5.Closing Stock &amp; W Capital'!$D$15))+(D84*'5.Closing Stock &amp; W Capital'!$D$15))*$C$152*F$124</f>
        <v>0</v>
      </c>
      <c r="G152" s="81">
        <f>((F84*(1-'5.Closing Stock &amp; W Capital'!$D$15))+(E84*'5.Closing Stock &amp; W Capital'!$D$15))*$C$152*G$124</f>
        <v>0</v>
      </c>
      <c r="H152" s="81">
        <f>((G84*(1-'5.Closing Stock &amp; W Capital'!$D$15))+(F84*'5.Closing Stock &amp; W Capital'!$D$15))*$C$152*H$124</f>
        <v>0</v>
      </c>
      <c r="I152" s="81">
        <f>((H84*(1-'5.Closing Stock &amp; W Capital'!$D$15))+(G84*'5.Closing Stock &amp; W Capital'!$D$15))*$C$152*I$124</f>
        <v>0</v>
      </c>
      <c r="J152" s="81">
        <f>((I84*(1-'5.Closing Stock &amp; W Capital'!$D$15))+(H84*'5.Closing Stock &amp; W Capital'!$D$15))*$C$152*J$124</f>
        <v>0</v>
      </c>
      <c r="K152" s="79"/>
      <c r="U152" s="79"/>
      <c r="V152" s="79"/>
      <c r="W152" s="79"/>
    </row>
    <row r="153" spans="1:23">
      <c r="A153" s="80" t="str">
        <f t="shared" si="52"/>
        <v>Grain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279</v>
      </c>
      <c r="B181" s="80"/>
      <c r="C181" s="81"/>
      <c r="D181" s="81"/>
      <c r="E181" s="81"/>
      <c r="F181" s="81"/>
      <c r="G181" s="81"/>
      <c r="H181" s="81"/>
      <c r="I181" s="81"/>
      <c r="J181" s="81"/>
      <c r="K181" s="79"/>
      <c r="U181" s="79"/>
      <c r="V181" s="79"/>
      <c r="W181" s="79"/>
    </row>
    <row r="182" spans="1:23">
      <c r="A182" s="80" t="s">
        <v>394</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174</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176</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175</v>
      </c>
      <c r="B186" s="80"/>
      <c r="C186" s="81"/>
      <c r="D186" s="81"/>
      <c r="E186" s="81"/>
      <c r="F186" s="81"/>
      <c r="G186" s="81"/>
      <c r="H186" s="81"/>
      <c r="I186" s="81"/>
      <c r="J186" s="81"/>
      <c r="K186" s="79"/>
      <c r="U186" s="79"/>
      <c r="V186" s="79"/>
      <c r="W186" s="79"/>
    </row>
    <row r="187" spans="1:23">
      <c r="A187" s="80" t="s">
        <v>181</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182</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302</v>
      </c>
      <c r="B196" s="79"/>
      <c r="C196" s="79"/>
      <c r="D196" s="79"/>
      <c r="E196" s="79"/>
      <c r="F196" s="79"/>
      <c r="G196" s="79"/>
      <c r="H196" s="79"/>
      <c r="I196" s="79"/>
      <c r="J196" s="79"/>
      <c r="K196" s="79"/>
      <c r="U196" s="79"/>
      <c r="V196" s="79"/>
      <c r="W196" s="79"/>
    </row>
    <row r="197" spans="1:23">
      <c r="A197" s="80" t="str">
        <f t="shared" ref="A197:A238" si="55">A130</f>
        <v>Soybean</v>
      </c>
      <c r="B197" s="79"/>
      <c r="C197" s="215">
        <v>85</v>
      </c>
      <c r="D197" s="81">
        <f t="shared" ref="D197:J206" si="56">C62*$C197*D$124</f>
        <v>0</v>
      </c>
      <c r="E197" s="81">
        <f t="shared" si="56"/>
        <v>0</v>
      </c>
      <c r="F197" s="81">
        <f t="shared" si="56"/>
        <v>0</v>
      </c>
      <c r="G197" s="81">
        <f t="shared" si="56"/>
        <v>0</v>
      </c>
      <c r="H197" s="81">
        <f t="shared" si="56"/>
        <v>0</v>
      </c>
      <c r="I197" s="81">
        <f t="shared" si="56"/>
        <v>0</v>
      </c>
      <c r="J197" s="81">
        <f t="shared" si="56"/>
        <v>0</v>
      </c>
      <c r="K197" s="79"/>
      <c r="U197" s="79"/>
      <c r="V197" s="79"/>
      <c r="W197" s="79"/>
    </row>
    <row r="198" spans="1:23">
      <c r="A198" s="80" t="str">
        <f t="shared" si="55"/>
        <v>Red Gram/Tur</v>
      </c>
      <c r="B198" s="80"/>
      <c r="C198" s="215">
        <v>75</v>
      </c>
      <c r="D198" s="81">
        <f t="shared" si="56"/>
        <v>0</v>
      </c>
      <c r="E198" s="81">
        <f t="shared" si="56"/>
        <v>0</v>
      </c>
      <c r="F198" s="81">
        <f t="shared" si="56"/>
        <v>0</v>
      </c>
      <c r="G198" s="81">
        <f t="shared" si="56"/>
        <v>0</v>
      </c>
      <c r="H198" s="81">
        <f t="shared" si="56"/>
        <v>0</v>
      </c>
      <c r="I198" s="81">
        <f t="shared" si="56"/>
        <v>0</v>
      </c>
      <c r="J198" s="81">
        <f t="shared" si="56"/>
        <v>0</v>
      </c>
      <c r="K198" s="79"/>
      <c r="U198" s="79"/>
      <c r="V198" s="79"/>
      <c r="W198" s="79"/>
    </row>
    <row r="199" spans="1:23">
      <c r="A199" s="80" t="str">
        <f t="shared" si="55"/>
        <v>Paddy/Rice</v>
      </c>
      <c r="B199" s="80"/>
      <c r="C199" s="215">
        <v>57</v>
      </c>
      <c r="D199" s="81">
        <f t="shared" si="56"/>
        <v>0</v>
      </c>
      <c r="E199" s="81">
        <f t="shared" si="56"/>
        <v>0</v>
      </c>
      <c r="F199" s="81">
        <f t="shared" si="56"/>
        <v>0</v>
      </c>
      <c r="G199" s="81">
        <f t="shared" si="56"/>
        <v>0</v>
      </c>
      <c r="H199" s="81">
        <f t="shared" si="56"/>
        <v>0</v>
      </c>
      <c r="I199" s="81">
        <f t="shared" si="56"/>
        <v>0</v>
      </c>
      <c r="J199" s="81">
        <f t="shared" si="56"/>
        <v>0</v>
      </c>
      <c r="K199" s="79"/>
      <c r="U199" s="79"/>
      <c r="V199" s="79"/>
      <c r="W199" s="79"/>
    </row>
    <row r="200" spans="1:23">
      <c r="A200" s="80" t="str">
        <f t="shared" si="55"/>
        <v>Green Gram/ Moong</v>
      </c>
      <c r="B200" s="80"/>
      <c r="C200" s="215">
        <v>80</v>
      </c>
      <c r="D200" s="81">
        <f t="shared" si="56"/>
        <v>0</v>
      </c>
      <c r="E200" s="81">
        <f t="shared" si="56"/>
        <v>0</v>
      </c>
      <c r="F200" s="81">
        <f t="shared" si="56"/>
        <v>0</v>
      </c>
      <c r="G200" s="81">
        <f t="shared" si="56"/>
        <v>0</v>
      </c>
      <c r="H200" s="81">
        <f t="shared" si="56"/>
        <v>0</v>
      </c>
      <c r="I200" s="81">
        <f t="shared" si="56"/>
        <v>0</v>
      </c>
      <c r="J200" s="81">
        <f t="shared" si="56"/>
        <v>0</v>
      </c>
      <c r="K200" s="79"/>
      <c r="L200" s="79"/>
      <c r="M200" s="79"/>
      <c r="N200" s="79"/>
      <c r="O200" s="79"/>
      <c r="P200" s="79"/>
      <c r="Q200" s="79"/>
      <c r="R200" s="79"/>
      <c r="S200" s="79"/>
      <c r="T200" s="79"/>
      <c r="U200" s="79"/>
      <c r="V200" s="79"/>
      <c r="W200" s="79"/>
    </row>
    <row r="201" spans="1:23">
      <c r="A201" s="80" t="str">
        <f t="shared" si="55"/>
        <v>Maize</v>
      </c>
      <c r="B201" s="80"/>
      <c r="C201" s="215">
        <v>25</v>
      </c>
      <c r="D201" s="81">
        <f t="shared" si="56"/>
        <v>0</v>
      </c>
      <c r="E201" s="81">
        <f t="shared" si="56"/>
        <v>0</v>
      </c>
      <c r="F201" s="81">
        <f t="shared" si="56"/>
        <v>0</v>
      </c>
      <c r="G201" s="81">
        <f t="shared" si="56"/>
        <v>0</v>
      </c>
      <c r="H201" s="81">
        <f t="shared" si="56"/>
        <v>0</v>
      </c>
      <c r="I201" s="81">
        <f t="shared" si="56"/>
        <v>0</v>
      </c>
      <c r="J201" s="81">
        <f t="shared" si="56"/>
        <v>0</v>
      </c>
      <c r="K201" s="79"/>
      <c r="L201" s="79"/>
      <c r="M201" s="79"/>
      <c r="N201" s="79"/>
      <c r="O201" s="79"/>
      <c r="P201" s="79"/>
      <c r="Q201" s="79"/>
      <c r="R201" s="79"/>
      <c r="S201" s="79"/>
      <c r="T201" s="79"/>
      <c r="U201" s="79"/>
      <c r="V201" s="79"/>
      <c r="W201" s="79"/>
    </row>
    <row r="202" spans="1:23">
      <c r="A202" s="80" t="str">
        <f t="shared" si="55"/>
        <v>Black Gram/Udid</v>
      </c>
      <c r="B202" s="80"/>
      <c r="C202" s="215">
        <v>70</v>
      </c>
      <c r="D202" s="81">
        <f t="shared" si="56"/>
        <v>0</v>
      </c>
      <c r="E202" s="81">
        <f t="shared" si="56"/>
        <v>0</v>
      </c>
      <c r="F202" s="81">
        <f t="shared" si="56"/>
        <v>0</v>
      </c>
      <c r="G202" s="81">
        <f t="shared" si="56"/>
        <v>0</v>
      </c>
      <c r="H202" s="81">
        <f t="shared" si="56"/>
        <v>0</v>
      </c>
      <c r="I202" s="81">
        <f t="shared" si="56"/>
        <v>0</v>
      </c>
      <c r="J202" s="81">
        <f t="shared" si="56"/>
        <v>0</v>
      </c>
      <c r="K202" s="79"/>
      <c r="L202" s="79"/>
      <c r="M202" s="79"/>
      <c r="N202" s="79"/>
      <c r="O202" s="79"/>
      <c r="P202" s="79"/>
      <c r="Q202" s="79"/>
      <c r="R202" s="79"/>
      <c r="S202" s="79"/>
      <c r="T202" s="79"/>
      <c r="U202" s="79"/>
      <c r="V202" s="79"/>
      <c r="W202" s="79"/>
    </row>
    <row r="203" spans="1:23">
      <c r="A203" s="80" t="str">
        <f t="shared" si="55"/>
        <v>Bajra</v>
      </c>
      <c r="B203" s="80"/>
      <c r="C203" s="215">
        <v>25</v>
      </c>
      <c r="D203" s="81">
        <f t="shared" si="56"/>
        <v>0</v>
      </c>
      <c r="E203" s="81">
        <f t="shared" si="56"/>
        <v>0</v>
      </c>
      <c r="F203" s="81">
        <f t="shared" si="56"/>
        <v>0</v>
      </c>
      <c r="G203" s="81">
        <f t="shared" si="56"/>
        <v>0</v>
      </c>
      <c r="H203" s="81">
        <f t="shared" si="56"/>
        <v>0</v>
      </c>
      <c r="I203" s="81">
        <f t="shared" si="56"/>
        <v>0</v>
      </c>
      <c r="J203" s="81">
        <f t="shared" si="56"/>
        <v>0</v>
      </c>
      <c r="K203" s="79"/>
      <c r="L203" s="79"/>
      <c r="M203" s="79"/>
      <c r="N203" s="79"/>
      <c r="O203" s="79"/>
      <c r="P203" s="79"/>
      <c r="Q203" s="79"/>
      <c r="R203" s="79"/>
      <c r="S203" s="79"/>
      <c r="T203" s="79"/>
      <c r="U203" s="79"/>
      <c r="V203" s="79"/>
      <c r="W203" s="79"/>
    </row>
    <row r="204" spans="1:23">
      <c r="A204" s="80" t="str">
        <f t="shared" si="55"/>
        <v>Jawar</v>
      </c>
      <c r="B204" s="80"/>
      <c r="C204" s="215">
        <v>25</v>
      </c>
      <c r="D204" s="81">
        <f t="shared" si="56"/>
        <v>0</v>
      </c>
      <c r="E204" s="81">
        <f t="shared" si="56"/>
        <v>0</v>
      </c>
      <c r="F204" s="81">
        <f t="shared" si="56"/>
        <v>0</v>
      </c>
      <c r="G204" s="81">
        <f t="shared" si="56"/>
        <v>0</v>
      </c>
      <c r="H204" s="81">
        <f t="shared" si="56"/>
        <v>0</v>
      </c>
      <c r="I204" s="81">
        <f t="shared" si="56"/>
        <v>0</v>
      </c>
      <c r="J204" s="81">
        <f t="shared" si="56"/>
        <v>0</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str">
        <f t="shared" si="55"/>
        <v>Wheat</v>
      </c>
      <c r="B206" s="80"/>
      <c r="C206" s="215">
        <v>35</v>
      </c>
      <c r="D206" s="81">
        <f t="shared" si="56"/>
        <v>0</v>
      </c>
      <c r="E206" s="81">
        <f t="shared" si="56"/>
        <v>0</v>
      </c>
      <c r="F206" s="81">
        <f t="shared" si="56"/>
        <v>0</v>
      </c>
      <c r="G206" s="81">
        <f t="shared" si="56"/>
        <v>0</v>
      </c>
      <c r="H206" s="81">
        <f t="shared" si="56"/>
        <v>0</v>
      </c>
      <c r="I206" s="81">
        <f t="shared" si="56"/>
        <v>0</v>
      </c>
      <c r="J206" s="81">
        <f t="shared" si="56"/>
        <v>0</v>
      </c>
      <c r="K206" s="79"/>
      <c r="L206" s="79"/>
      <c r="M206" s="79"/>
      <c r="N206" s="79"/>
      <c r="O206" s="79"/>
      <c r="P206" s="79"/>
      <c r="Q206" s="79"/>
      <c r="R206" s="79"/>
      <c r="S206" s="79"/>
      <c r="T206" s="79"/>
      <c r="U206" s="79"/>
      <c r="V206" s="79"/>
      <c r="W206" s="79"/>
    </row>
    <row r="207" spans="1:23">
      <c r="A207" s="80" t="str">
        <f t="shared" si="55"/>
        <v>Bengal Gram/Channa</v>
      </c>
      <c r="B207" s="80"/>
      <c r="C207" s="215">
        <v>70</v>
      </c>
      <c r="D207" s="81">
        <f t="shared" ref="D207:J216" si="57">C72*$C207*D$124</f>
        <v>0</v>
      </c>
      <c r="E207" s="81">
        <f t="shared" si="57"/>
        <v>0</v>
      </c>
      <c r="F207" s="81">
        <f t="shared" si="57"/>
        <v>0</v>
      </c>
      <c r="G207" s="81">
        <f t="shared" si="57"/>
        <v>0</v>
      </c>
      <c r="H207" s="81">
        <f t="shared" si="57"/>
        <v>0</v>
      </c>
      <c r="I207" s="81">
        <f t="shared" si="57"/>
        <v>0</v>
      </c>
      <c r="J207" s="81">
        <f t="shared" si="57"/>
        <v>0</v>
      </c>
      <c r="K207" s="79"/>
      <c r="L207" s="79"/>
      <c r="M207" s="79"/>
      <c r="N207" s="79"/>
      <c r="O207" s="79"/>
      <c r="P207" s="79"/>
      <c r="Q207" s="79"/>
      <c r="R207" s="79"/>
      <c r="S207" s="79"/>
      <c r="T207" s="79"/>
      <c r="U207" s="79"/>
      <c r="V207" s="79"/>
      <c r="W207" s="79"/>
    </row>
    <row r="208" spans="1:23">
      <c r="A208" s="80" t="str">
        <f t="shared" si="55"/>
        <v>Jawar</v>
      </c>
      <c r="B208" s="80"/>
      <c r="C208" s="215">
        <v>25</v>
      </c>
      <c r="D208" s="81">
        <f t="shared" si="57"/>
        <v>0</v>
      </c>
      <c r="E208" s="81">
        <f t="shared" si="57"/>
        <v>0</v>
      </c>
      <c r="F208" s="81">
        <f t="shared" si="57"/>
        <v>0</v>
      </c>
      <c r="G208" s="81">
        <f t="shared" si="57"/>
        <v>0</v>
      </c>
      <c r="H208" s="81">
        <f t="shared" si="57"/>
        <v>0</v>
      </c>
      <c r="I208" s="81">
        <f t="shared" si="57"/>
        <v>0</v>
      </c>
      <c r="J208" s="81">
        <f t="shared" si="57"/>
        <v>0</v>
      </c>
      <c r="K208" s="79"/>
      <c r="L208" s="79"/>
      <c r="M208" s="79"/>
      <c r="N208" s="79"/>
      <c r="O208" s="79"/>
      <c r="P208" s="79"/>
      <c r="Q208" s="79"/>
      <c r="R208" s="79"/>
      <c r="S208" s="79"/>
      <c r="T208" s="79"/>
      <c r="U208" s="79"/>
      <c r="V208" s="79"/>
      <c r="W208" s="79"/>
    </row>
    <row r="209" spans="1:23">
      <c r="A209" s="80" t="str">
        <f t="shared" si="55"/>
        <v>Maize</v>
      </c>
      <c r="B209" s="80"/>
      <c r="C209" s="215">
        <v>25</v>
      </c>
      <c r="D209" s="81">
        <f t="shared" si="57"/>
        <v>0</v>
      </c>
      <c r="E209" s="81">
        <f t="shared" si="57"/>
        <v>0</v>
      </c>
      <c r="F209" s="81">
        <f t="shared" si="57"/>
        <v>0</v>
      </c>
      <c r="G209" s="81">
        <f t="shared" si="57"/>
        <v>0</v>
      </c>
      <c r="H209" s="81">
        <f t="shared" si="57"/>
        <v>0</v>
      </c>
      <c r="I209" s="81">
        <f t="shared" si="57"/>
        <v>0</v>
      </c>
      <c r="J209" s="81">
        <f t="shared" si="57"/>
        <v>0</v>
      </c>
      <c r="K209" s="79"/>
      <c r="L209" s="79"/>
      <c r="M209" s="79"/>
      <c r="N209" s="79"/>
      <c r="O209" s="79"/>
      <c r="P209" s="79"/>
      <c r="Q209" s="79"/>
      <c r="R209" s="79"/>
      <c r="S209" s="79"/>
      <c r="T209" s="79"/>
      <c r="U209" s="79"/>
      <c r="V209" s="79"/>
      <c r="W209" s="79"/>
    </row>
    <row r="210" spans="1:23">
      <c r="A210" s="80" t="str">
        <f t="shared" si="55"/>
        <v>Safflower</v>
      </c>
      <c r="B210" s="80"/>
      <c r="C210" s="215">
        <v>25</v>
      </c>
      <c r="D210" s="81">
        <f t="shared" si="57"/>
        <v>0</v>
      </c>
      <c r="E210" s="81">
        <f t="shared" si="57"/>
        <v>0</v>
      </c>
      <c r="F210" s="81">
        <f t="shared" si="57"/>
        <v>0</v>
      </c>
      <c r="G210" s="81">
        <f t="shared" si="57"/>
        <v>0</v>
      </c>
      <c r="H210" s="81">
        <f t="shared" si="57"/>
        <v>0</v>
      </c>
      <c r="I210" s="81">
        <f t="shared" si="57"/>
        <v>0</v>
      </c>
      <c r="J210" s="81">
        <f t="shared" si="57"/>
        <v>0</v>
      </c>
      <c r="K210" s="79"/>
      <c r="L210" s="79"/>
      <c r="M210" s="79"/>
      <c r="N210" s="79"/>
      <c r="O210" s="79"/>
      <c r="P210" s="79"/>
      <c r="Q210" s="79"/>
      <c r="R210" s="79"/>
      <c r="S210" s="79"/>
      <c r="T210" s="79"/>
      <c r="U210" s="79"/>
      <c r="V210" s="79"/>
      <c r="W210" s="79"/>
    </row>
    <row r="211" spans="1:23">
      <c r="A211" s="80">
        <f t="shared" si="55"/>
        <v>0</v>
      </c>
      <c r="B211" s="80"/>
      <c r="C211" s="215"/>
      <c r="D211" s="81">
        <f t="shared" si="57"/>
        <v>0</v>
      </c>
      <c r="E211" s="81">
        <f t="shared" si="57"/>
        <v>0</v>
      </c>
      <c r="F211" s="81">
        <f t="shared" si="57"/>
        <v>0</v>
      </c>
      <c r="G211" s="81">
        <f t="shared" si="57"/>
        <v>0</v>
      </c>
      <c r="H211" s="81">
        <f t="shared" si="57"/>
        <v>0</v>
      </c>
      <c r="I211" s="81">
        <f t="shared" si="57"/>
        <v>0</v>
      </c>
      <c r="J211" s="81">
        <f t="shared" si="57"/>
        <v>0</v>
      </c>
      <c r="K211" s="79"/>
      <c r="L211" s="79"/>
      <c r="M211" s="79"/>
      <c r="N211" s="79"/>
      <c r="O211" s="79"/>
      <c r="P211" s="79"/>
      <c r="Q211" s="79"/>
      <c r="R211" s="79"/>
      <c r="S211" s="79"/>
      <c r="T211" s="79"/>
      <c r="U211" s="79"/>
      <c r="V211" s="79"/>
      <c r="W211" s="79"/>
    </row>
    <row r="212" spans="1:23">
      <c r="A212" s="80">
        <f t="shared" si="55"/>
        <v>0</v>
      </c>
      <c r="B212" s="80"/>
      <c r="C212" s="215"/>
      <c r="D212" s="81">
        <f t="shared" si="57"/>
        <v>0</v>
      </c>
      <c r="E212" s="81">
        <f t="shared" si="57"/>
        <v>0</v>
      </c>
      <c r="F212" s="81">
        <f t="shared" si="57"/>
        <v>0</v>
      </c>
      <c r="G212" s="81">
        <f t="shared" si="57"/>
        <v>0</v>
      </c>
      <c r="H212" s="81">
        <f t="shared" si="57"/>
        <v>0</v>
      </c>
      <c r="I212" s="81">
        <f t="shared" si="57"/>
        <v>0</v>
      </c>
      <c r="J212" s="81">
        <f t="shared" si="57"/>
        <v>0</v>
      </c>
      <c r="K212" s="79"/>
      <c r="L212" s="79"/>
      <c r="M212" s="79"/>
      <c r="N212" s="79"/>
      <c r="O212" s="79"/>
      <c r="P212" s="79"/>
      <c r="Q212" s="79"/>
      <c r="R212" s="79"/>
      <c r="S212" s="79"/>
      <c r="T212" s="79"/>
      <c r="U212" s="79"/>
      <c r="V212" s="79"/>
      <c r="W212" s="79"/>
    </row>
    <row r="213" spans="1:23">
      <c r="A213" s="80">
        <f t="shared" si="55"/>
        <v>0</v>
      </c>
      <c r="B213" s="80"/>
      <c r="C213" s="215"/>
      <c r="D213" s="81">
        <f t="shared" si="57"/>
        <v>0</v>
      </c>
      <c r="E213" s="81">
        <f t="shared" si="57"/>
        <v>0</v>
      </c>
      <c r="F213" s="81">
        <f t="shared" si="57"/>
        <v>0</v>
      </c>
      <c r="G213" s="81">
        <f t="shared" si="57"/>
        <v>0</v>
      </c>
      <c r="H213" s="81">
        <f t="shared" si="57"/>
        <v>0</v>
      </c>
      <c r="I213" s="81">
        <f t="shared" si="57"/>
        <v>0</v>
      </c>
      <c r="J213" s="81">
        <f t="shared" si="57"/>
        <v>0</v>
      </c>
      <c r="K213" s="79"/>
      <c r="L213" s="79"/>
      <c r="M213" s="79"/>
      <c r="N213" s="79"/>
      <c r="O213" s="79"/>
      <c r="P213" s="79"/>
      <c r="Q213" s="79"/>
      <c r="R213" s="79"/>
      <c r="S213" s="79"/>
      <c r="T213" s="79"/>
      <c r="U213" s="79"/>
      <c r="V213" s="79"/>
      <c r="W213" s="79"/>
    </row>
    <row r="214" spans="1:23">
      <c r="A214" s="80" t="str">
        <f t="shared" si="55"/>
        <v>Summer</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str">
        <f t="shared" si="55"/>
        <v>Groundnut</v>
      </c>
      <c r="B215" s="80"/>
      <c r="C215" s="215"/>
      <c r="D215" s="81">
        <f t="shared" si="57"/>
        <v>0</v>
      </c>
      <c r="E215" s="81">
        <f t="shared" si="57"/>
        <v>0</v>
      </c>
      <c r="F215" s="81">
        <f t="shared" si="57"/>
        <v>0</v>
      </c>
      <c r="G215" s="81">
        <f t="shared" si="57"/>
        <v>0</v>
      </c>
      <c r="H215" s="81">
        <f t="shared" si="57"/>
        <v>0</v>
      </c>
      <c r="I215" s="81">
        <f t="shared" si="57"/>
        <v>0</v>
      </c>
      <c r="J215" s="81">
        <f t="shared" si="57"/>
        <v>0</v>
      </c>
      <c r="K215" s="79"/>
      <c r="L215" s="79"/>
      <c r="M215" s="79"/>
      <c r="N215" s="79"/>
      <c r="O215" s="79"/>
      <c r="P215" s="79"/>
      <c r="Q215" s="79"/>
      <c r="R215" s="79"/>
      <c r="S215" s="79"/>
      <c r="T215" s="79"/>
      <c r="U215" s="79"/>
      <c r="V215" s="79"/>
      <c r="W215" s="79"/>
    </row>
    <row r="216" spans="1:23">
      <c r="A216" s="80">
        <f t="shared" si="55"/>
        <v>0</v>
      </c>
      <c r="B216" s="80"/>
      <c r="C216" s="215"/>
      <c r="D216" s="81">
        <f t="shared" si="57"/>
        <v>0</v>
      </c>
      <c r="E216" s="81">
        <f t="shared" si="57"/>
        <v>0</v>
      </c>
      <c r="F216" s="81">
        <f t="shared" si="57"/>
        <v>0</v>
      </c>
      <c r="G216" s="81">
        <f t="shared" si="57"/>
        <v>0</v>
      </c>
      <c r="H216" s="81">
        <f t="shared" si="57"/>
        <v>0</v>
      </c>
      <c r="I216" s="81">
        <f t="shared" si="57"/>
        <v>0</v>
      </c>
      <c r="J216" s="81">
        <f t="shared" si="57"/>
        <v>0</v>
      </c>
      <c r="K216" s="79"/>
      <c r="L216" s="79"/>
      <c r="M216" s="79"/>
      <c r="N216" s="79"/>
      <c r="O216" s="79"/>
      <c r="P216" s="79"/>
      <c r="Q216" s="79"/>
      <c r="R216" s="79"/>
      <c r="S216" s="79"/>
      <c r="T216" s="79"/>
      <c r="U216" s="79"/>
      <c r="V216" s="79"/>
      <c r="W216" s="79"/>
    </row>
    <row r="217" spans="1:23">
      <c r="A217" s="80">
        <f t="shared" si="55"/>
        <v>0</v>
      </c>
      <c r="B217" s="80"/>
      <c r="C217" s="215"/>
      <c r="D217" s="81">
        <f t="shared" ref="D217:J219" si="58">C82*$C217*D$124</f>
        <v>0</v>
      </c>
      <c r="E217" s="81">
        <f t="shared" si="58"/>
        <v>0</v>
      </c>
      <c r="F217" s="81">
        <f t="shared" si="58"/>
        <v>0</v>
      </c>
      <c r="G217" s="81">
        <f t="shared" si="58"/>
        <v>0</v>
      </c>
      <c r="H217" s="81">
        <f t="shared" si="58"/>
        <v>0</v>
      </c>
      <c r="I217" s="81">
        <f t="shared" si="58"/>
        <v>0</v>
      </c>
      <c r="J217" s="81">
        <f t="shared" si="58"/>
        <v>0</v>
      </c>
      <c r="K217" s="79"/>
      <c r="L217" s="79"/>
      <c r="M217" s="79"/>
      <c r="N217" s="79"/>
      <c r="O217" s="79"/>
      <c r="P217" s="79"/>
      <c r="Q217" s="79"/>
      <c r="R217" s="79"/>
      <c r="S217" s="79"/>
      <c r="T217" s="79"/>
      <c r="U217" s="79"/>
      <c r="V217" s="79"/>
      <c r="W217" s="79"/>
    </row>
    <row r="218" spans="1:23">
      <c r="A218" s="80">
        <f t="shared" si="55"/>
        <v>0</v>
      </c>
      <c r="B218" s="80"/>
      <c r="C218" s="215"/>
      <c r="D218" s="81">
        <f t="shared" si="58"/>
        <v>0</v>
      </c>
      <c r="E218" s="81">
        <f t="shared" si="58"/>
        <v>0</v>
      </c>
      <c r="F218" s="81">
        <f t="shared" si="58"/>
        <v>0</v>
      </c>
      <c r="G218" s="81">
        <f t="shared" si="58"/>
        <v>0</v>
      </c>
      <c r="H218" s="81">
        <f t="shared" si="58"/>
        <v>0</v>
      </c>
      <c r="I218" s="81">
        <f t="shared" si="58"/>
        <v>0</v>
      </c>
      <c r="J218" s="81">
        <f t="shared" si="58"/>
        <v>0</v>
      </c>
      <c r="K218" s="79"/>
      <c r="L218" s="79"/>
      <c r="M218" s="79"/>
      <c r="N218" s="79"/>
      <c r="O218" s="79"/>
      <c r="P218" s="79"/>
      <c r="Q218" s="79"/>
      <c r="R218" s="79"/>
      <c r="S218" s="79"/>
      <c r="T218" s="79"/>
      <c r="U218" s="79"/>
      <c r="V218" s="79"/>
      <c r="W218" s="79"/>
    </row>
    <row r="219" spans="1:23">
      <c r="A219" s="80">
        <f t="shared" si="55"/>
        <v>0</v>
      </c>
      <c r="B219" s="80"/>
      <c r="C219" s="215"/>
      <c r="D219" s="81">
        <f t="shared" si="58"/>
        <v>0</v>
      </c>
      <c r="E219" s="81">
        <f t="shared" si="58"/>
        <v>0</v>
      </c>
      <c r="F219" s="81">
        <f t="shared" si="58"/>
        <v>0</v>
      </c>
      <c r="G219" s="81">
        <f t="shared" si="58"/>
        <v>0</v>
      </c>
      <c r="H219" s="81">
        <f t="shared" si="58"/>
        <v>0</v>
      </c>
      <c r="I219" s="81">
        <f t="shared" si="58"/>
        <v>0</v>
      </c>
      <c r="J219" s="81">
        <f t="shared" si="58"/>
        <v>0</v>
      </c>
      <c r="K219" s="79"/>
      <c r="L219" s="79"/>
      <c r="M219" s="79"/>
      <c r="N219" s="79"/>
      <c r="O219" s="79"/>
      <c r="P219" s="79"/>
      <c r="Q219" s="79"/>
      <c r="R219" s="79"/>
      <c r="S219" s="79"/>
      <c r="T219" s="79"/>
      <c r="U219" s="79"/>
      <c r="V219" s="79"/>
      <c r="W219" s="79"/>
    </row>
    <row r="220" spans="1:23">
      <c r="A220" s="80" t="str">
        <f t="shared" si="55"/>
        <v>Grain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282</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167</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330</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331</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309</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300</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314</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315</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185</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316</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313</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704" t="s">
        <v>408</v>
      </c>
      <c r="B279" s="704"/>
      <c r="C279" s="704"/>
      <c r="D279" s="704"/>
      <c r="E279" s="704"/>
      <c r="F279" s="704"/>
      <c r="G279" s="704"/>
      <c r="H279" s="704"/>
      <c r="I279" s="704"/>
      <c r="J279" s="704"/>
    </row>
    <row r="281" spans="1:23">
      <c r="A281" t="s">
        <v>506</v>
      </c>
    </row>
    <row r="282" spans="1:23">
      <c r="A282">
        <v>1</v>
      </c>
      <c r="B282" t="s">
        <v>516</v>
      </c>
    </row>
    <row r="283" spans="1:23">
      <c r="A283">
        <v>2</v>
      </c>
      <c r="B283" t="s">
        <v>517</v>
      </c>
    </row>
    <row r="284" spans="1:23">
      <c r="A284">
        <v>3</v>
      </c>
      <c r="B284" s="79" t="s">
        <v>566</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77"/>
  <sheetViews>
    <sheetView view="pageBreakPreview" topLeftCell="A16" zoomScaleSheetLayoutView="100" workbookViewId="0">
      <selection activeCell="B22" activeCellId="1" sqref="B32 B22"/>
    </sheetView>
  </sheetViews>
  <sheetFormatPr defaultRowHeight="15"/>
  <cols>
    <col min="1" max="1" width="35.85546875" style="244" customWidth="1"/>
    <col min="2" max="2" width="21" customWidth="1"/>
    <col min="3" max="3" width="11.5703125" customWidth="1"/>
    <col min="4" max="4" width="13.42578125" style="365" customWidth="1"/>
    <col min="5" max="6" width="11.7109375" style="365" customWidth="1"/>
    <col min="7" max="7" width="15" style="365" bestFit="1" customWidth="1"/>
    <col min="8" max="10" width="11.7109375" style="365" customWidth="1"/>
    <col min="11" max="11" width="11.7109375" customWidth="1"/>
    <col min="12" max="12" width="9.28515625" customWidth="1"/>
  </cols>
  <sheetData>
    <row r="3" spans="1:9" ht="18.75">
      <c r="A3" s="703" t="s">
        <v>961</v>
      </c>
      <c r="B3" s="703"/>
      <c r="C3" s="703"/>
      <c r="D3" s="703"/>
      <c r="E3" s="703"/>
      <c r="F3" s="703"/>
      <c r="G3" s="703"/>
      <c r="H3" s="703"/>
    </row>
    <row r="4" spans="1:9" ht="18.75">
      <c r="A4" s="703" t="s">
        <v>552</v>
      </c>
      <c r="B4" s="703"/>
      <c r="C4" s="703"/>
      <c r="D4" s="703"/>
      <c r="E4" s="703"/>
      <c r="F4" s="703"/>
      <c r="G4" s="703"/>
      <c r="H4" s="703"/>
    </row>
    <row r="5" spans="1:9" ht="18.75">
      <c r="A5" s="648"/>
      <c r="B5" s="554"/>
      <c r="C5" s="554"/>
      <c r="D5" s="554"/>
      <c r="E5" s="554"/>
      <c r="F5" s="554"/>
      <c r="G5" s="554"/>
      <c r="H5" s="554"/>
    </row>
    <row r="6" spans="1:9" ht="18.75">
      <c r="A6" s="648"/>
      <c r="B6" s="554"/>
      <c r="C6" s="554"/>
      <c r="D6" s="554"/>
      <c r="E6" s="554"/>
      <c r="F6" s="554"/>
      <c r="G6" s="554"/>
      <c r="H6" s="554"/>
    </row>
    <row r="7" spans="1:9">
      <c r="A7" s="649" t="s">
        <v>156</v>
      </c>
      <c r="B7" s="208">
        <v>4</v>
      </c>
      <c r="C7" s="79" t="s">
        <v>289</v>
      </c>
      <c r="D7" s="94"/>
      <c r="E7" s="94"/>
      <c r="F7" s="94"/>
      <c r="G7" s="94"/>
      <c r="H7" s="94"/>
    </row>
    <row r="8" spans="1:9">
      <c r="A8" s="649" t="s">
        <v>157</v>
      </c>
      <c r="B8" s="236">
        <v>10</v>
      </c>
      <c r="C8" s="79"/>
      <c r="D8" s="94"/>
      <c r="E8" s="94"/>
      <c r="F8" s="94"/>
      <c r="G8" s="94"/>
      <c r="H8" s="94"/>
    </row>
    <row r="9" spans="1:9">
      <c r="A9" s="649"/>
      <c r="B9" s="236"/>
      <c r="C9" s="79"/>
      <c r="D9" s="94"/>
      <c r="E9" s="94"/>
      <c r="F9" s="94"/>
      <c r="G9" s="94"/>
      <c r="H9" s="94"/>
    </row>
    <row r="10" spans="1:9">
      <c r="A10" s="649"/>
      <c r="B10" s="236"/>
      <c r="C10" s="79"/>
      <c r="D10" s="94"/>
      <c r="E10" s="94"/>
      <c r="F10" s="94"/>
      <c r="G10" s="94"/>
      <c r="H10" s="94"/>
    </row>
    <row r="11" spans="1:9">
      <c r="A11" s="649"/>
      <c r="B11" s="79"/>
      <c r="C11" s="79"/>
      <c r="D11" s="94"/>
      <c r="E11" s="94"/>
      <c r="F11" s="94"/>
      <c r="G11" s="94"/>
      <c r="H11" s="94"/>
    </row>
    <row r="12" spans="1:9">
      <c r="A12" s="49" t="s">
        <v>0</v>
      </c>
      <c r="B12" s="122" t="s">
        <v>2</v>
      </c>
      <c r="C12" s="122" t="s">
        <v>3</v>
      </c>
      <c r="D12" s="122" t="s">
        <v>4</v>
      </c>
      <c r="E12" s="122" t="s">
        <v>5</v>
      </c>
      <c r="F12" s="122" t="s">
        <v>6</v>
      </c>
      <c r="G12" s="122" t="s">
        <v>164</v>
      </c>
      <c r="H12" s="122" t="s">
        <v>163</v>
      </c>
      <c r="I12" s="417"/>
    </row>
    <row r="13" spans="1:9">
      <c r="A13" s="650" t="s">
        <v>939</v>
      </c>
      <c r="B13" s="331"/>
      <c r="C13" s="331"/>
      <c r="D13" s="418"/>
      <c r="E13" s="418"/>
      <c r="F13" s="418"/>
      <c r="G13" s="418"/>
      <c r="H13" s="418"/>
      <c r="I13" s="417"/>
    </row>
    <row r="14" spans="1:9">
      <c r="A14" s="777" t="s">
        <v>940</v>
      </c>
      <c r="B14" s="778"/>
      <c r="C14" s="778"/>
      <c r="D14" s="778"/>
      <c r="E14" s="778"/>
      <c r="F14" s="778"/>
      <c r="G14" s="778"/>
      <c r="H14" s="778"/>
      <c r="I14" s="417"/>
    </row>
    <row r="15" spans="1:9">
      <c r="A15" s="651" t="s">
        <v>667</v>
      </c>
      <c r="B15" s="332">
        <f t="shared" ref="B15:H15" si="0">+$B$7*$B$8*300</f>
        <v>12000</v>
      </c>
      <c r="C15" s="332">
        <f t="shared" si="0"/>
        <v>12000</v>
      </c>
      <c r="D15" s="332">
        <f t="shared" si="0"/>
        <v>12000</v>
      </c>
      <c r="E15" s="332">
        <f t="shared" si="0"/>
        <v>12000</v>
      </c>
      <c r="F15" s="332">
        <f t="shared" si="0"/>
        <v>12000</v>
      </c>
      <c r="G15" s="332">
        <f t="shared" si="0"/>
        <v>12000</v>
      </c>
      <c r="H15" s="332">
        <f t="shared" si="0"/>
        <v>12000</v>
      </c>
      <c r="I15" s="417"/>
    </row>
    <row r="16" spans="1:9" s="627" customFormat="1">
      <c r="A16" s="652" t="s">
        <v>984</v>
      </c>
      <c r="B16" s="625">
        <f>B15*0.6</f>
        <v>7200</v>
      </c>
      <c r="C16" s="625">
        <f t="shared" ref="C16:H17" si="1">+B16</f>
        <v>7200</v>
      </c>
      <c r="D16" s="625">
        <f t="shared" si="1"/>
        <v>7200</v>
      </c>
      <c r="E16" s="625">
        <f t="shared" si="1"/>
        <v>7200</v>
      </c>
      <c r="F16" s="625">
        <f t="shared" si="1"/>
        <v>7200</v>
      </c>
      <c r="G16" s="625">
        <f t="shared" si="1"/>
        <v>7200</v>
      </c>
      <c r="H16" s="625">
        <f t="shared" si="1"/>
        <v>7200</v>
      </c>
      <c r="I16" s="626"/>
    </row>
    <row r="17" spans="1:14" s="627" customFormat="1">
      <c r="A17" s="652" t="s">
        <v>985</v>
      </c>
      <c r="B17" s="625">
        <f>+B15-B16</f>
        <v>4800</v>
      </c>
      <c r="C17" s="625">
        <f t="shared" si="1"/>
        <v>4800</v>
      </c>
      <c r="D17" s="625">
        <f t="shared" si="1"/>
        <v>4800</v>
      </c>
      <c r="E17" s="625">
        <f t="shared" si="1"/>
        <v>4800</v>
      </c>
      <c r="F17" s="625">
        <f t="shared" si="1"/>
        <v>4800</v>
      </c>
      <c r="G17" s="625">
        <f t="shared" si="1"/>
        <v>4800</v>
      </c>
      <c r="H17" s="625">
        <f t="shared" si="1"/>
        <v>4800</v>
      </c>
      <c r="I17" s="626"/>
    </row>
    <row r="18" spans="1:14">
      <c r="A18" s="651" t="s">
        <v>656</v>
      </c>
      <c r="B18" s="569">
        <f>+'Input Sheet'!C25</f>
        <v>0.5</v>
      </c>
      <c r="C18" s="569">
        <f>+'Input Sheet'!D25</f>
        <v>0.55000000000000004</v>
      </c>
      <c r="D18" s="569">
        <f>+'Input Sheet'!E25</f>
        <v>0.60000000000000009</v>
      </c>
      <c r="E18" s="569">
        <f>+'Input Sheet'!F25</f>
        <v>0.65000000000000013</v>
      </c>
      <c r="F18" s="569">
        <f>+'Input Sheet'!G25</f>
        <v>0.70000000000000018</v>
      </c>
      <c r="G18" s="569">
        <f>+'Input Sheet'!H25</f>
        <v>0.75000000000000022</v>
      </c>
      <c r="H18" s="569">
        <f>+'Input Sheet'!I25</f>
        <v>0.80000000000000027</v>
      </c>
      <c r="I18" s="417"/>
    </row>
    <row r="19" spans="1:14" ht="30">
      <c r="A19" s="651" t="s">
        <v>657</v>
      </c>
      <c r="B19" s="569">
        <f>+'Input Sheet'!C26</f>
        <v>0.5</v>
      </c>
      <c r="C19" s="569">
        <f>+'Input Sheet'!D26</f>
        <v>0.55000000000000004</v>
      </c>
      <c r="D19" s="569">
        <f>+'Input Sheet'!E26</f>
        <v>0.60000000000000009</v>
      </c>
      <c r="E19" s="569">
        <f>+'Input Sheet'!F26</f>
        <v>0.65000000000000013</v>
      </c>
      <c r="F19" s="569">
        <f>+'Input Sheet'!G26</f>
        <v>0.70000000000000018</v>
      </c>
      <c r="G19" s="569">
        <f>+'Input Sheet'!H26</f>
        <v>0.75000000000000022</v>
      </c>
      <c r="H19" s="569">
        <f>+'Input Sheet'!I26</f>
        <v>0.80000000000000027</v>
      </c>
      <c r="I19" s="417"/>
    </row>
    <row r="20" spans="1:14">
      <c r="A20" s="393"/>
      <c r="B20" s="321"/>
      <c r="C20" s="321"/>
      <c r="D20" s="346"/>
      <c r="E20" s="346"/>
      <c r="F20" s="346"/>
      <c r="G20" s="346"/>
      <c r="H20" s="346"/>
      <c r="I20" s="417"/>
    </row>
    <row r="21" spans="1:14">
      <c r="A21" s="646" t="s">
        <v>658</v>
      </c>
      <c r="B21" s="321"/>
      <c r="C21" s="321"/>
      <c r="D21" s="346"/>
      <c r="E21" s="346"/>
      <c r="F21" s="346"/>
      <c r="G21" s="346"/>
      <c r="H21" s="346"/>
      <c r="I21" s="417"/>
    </row>
    <row r="22" spans="1:14">
      <c r="A22" s="393" t="s">
        <v>929</v>
      </c>
      <c r="B22" s="321">
        <f t="shared" ref="B22:H22" si="2">B16*B18</f>
        <v>3600</v>
      </c>
      <c r="C22" s="321">
        <f t="shared" si="2"/>
        <v>3960.0000000000005</v>
      </c>
      <c r="D22" s="346">
        <f t="shared" si="2"/>
        <v>4320.0000000000009</v>
      </c>
      <c r="E22" s="346">
        <f t="shared" si="2"/>
        <v>4680.0000000000009</v>
      </c>
      <c r="F22" s="346">
        <f t="shared" si="2"/>
        <v>5040.0000000000009</v>
      </c>
      <c r="G22" s="346">
        <f t="shared" si="2"/>
        <v>5400.0000000000018</v>
      </c>
      <c r="H22" s="346">
        <f t="shared" si="2"/>
        <v>5760.0000000000018</v>
      </c>
      <c r="I22" s="417">
        <f>+B22*50%</f>
        <v>1800</v>
      </c>
      <c r="J22" s="417">
        <f t="shared" ref="J22:N22" si="3">+C22*50%</f>
        <v>1980.0000000000002</v>
      </c>
      <c r="K22" s="417">
        <f t="shared" si="3"/>
        <v>2160.0000000000005</v>
      </c>
      <c r="L22" s="417">
        <f t="shared" si="3"/>
        <v>2340.0000000000005</v>
      </c>
      <c r="M22" s="417">
        <f t="shared" si="3"/>
        <v>2520.0000000000005</v>
      </c>
      <c r="N22" s="417">
        <f t="shared" si="3"/>
        <v>2700.0000000000009</v>
      </c>
    </row>
    <row r="23" spans="1:14">
      <c r="A23" s="333" t="s">
        <v>668</v>
      </c>
      <c r="B23" s="570">
        <f>+'Input Sheet'!C104</f>
        <v>900</v>
      </c>
      <c r="C23" s="570">
        <f>+'Input Sheet'!D104</f>
        <v>950</v>
      </c>
      <c r="D23" s="570">
        <f>+'Input Sheet'!E104</f>
        <v>1000</v>
      </c>
      <c r="E23" s="570">
        <f>+'Input Sheet'!F104</f>
        <v>1050</v>
      </c>
      <c r="F23" s="570">
        <f>+'Input Sheet'!G104</f>
        <v>1100</v>
      </c>
      <c r="G23" s="570">
        <f>+'Input Sheet'!H104</f>
        <v>1160</v>
      </c>
      <c r="H23" s="570">
        <f>+'Input Sheet'!I104</f>
        <v>1220</v>
      </c>
      <c r="I23" s="417">
        <f>+I22+B40</f>
        <v>3000</v>
      </c>
      <c r="J23" s="417">
        <f t="shared" ref="J23:N23" si="4">+J22+C40</f>
        <v>3300</v>
      </c>
      <c r="K23" s="417">
        <f t="shared" si="4"/>
        <v>3600.0000000000005</v>
      </c>
      <c r="L23" s="417">
        <f t="shared" si="4"/>
        <v>3900.0000000000005</v>
      </c>
      <c r="M23" s="417">
        <f t="shared" si="4"/>
        <v>4200</v>
      </c>
      <c r="N23" s="417">
        <f t="shared" si="4"/>
        <v>4500.0000000000009</v>
      </c>
    </row>
    <row r="24" spans="1:14">
      <c r="A24" s="596" t="s">
        <v>659</v>
      </c>
      <c r="B24" s="335">
        <f t="shared" ref="B24:H24" si="5">B22*B23/100000</f>
        <v>32.4</v>
      </c>
      <c r="C24" s="335">
        <f t="shared" si="5"/>
        <v>37.620000000000005</v>
      </c>
      <c r="D24" s="420">
        <f t="shared" si="5"/>
        <v>43.20000000000001</v>
      </c>
      <c r="E24" s="420">
        <f t="shared" si="5"/>
        <v>49.140000000000008</v>
      </c>
      <c r="F24" s="420">
        <f t="shared" si="5"/>
        <v>55.440000000000012</v>
      </c>
      <c r="G24" s="420">
        <f t="shared" si="5"/>
        <v>62.640000000000022</v>
      </c>
      <c r="H24" s="420">
        <f t="shared" si="5"/>
        <v>70.27200000000002</v>
      </c>
      <c r="I24" s="417"/>
    </row>
    <row r="25" spans="1:14">
      <c r="A25" s="596"/>
      <c r="B25" s="335"/>
      <c r="C25" s="335"/>
      <c r="D25" s="420"/>
      <c r="E25" s="420"/>
      <c r="F25" s="420"/>
      <c r="G25" s="420"/>
      <c r="H25" s="420"/>
      <c r="I25" s="417"/>
    </row>
    <row r="26" spans="1:14" hidden="1">
      <c r="A26" s="596" t="s">
        <v>891</v>
      </c>
      <c r="B26" s="335"/>
      <c r="C26" s="335"/>
      <c r="D26" s="420"/>
      <c r="E26" s="420"/>
      <c r="F26" s="420"/>
      <c r="G26" s="420"/>
      <c r="H26" s="420"/>
      <c r="I26" s="417"/>
    </row>
    <row r="27" spans="1:14" hidden="1">
      <c r="A27" s="333" t="s">
        <v>892</v>
      </c>
      <c r="B27" s="335"/>
      <c r="C27" s="335"/>
      <c r="D27" s="335"/>
      <c r="E27" s="335"/>
      <c r="F27" s="335"/>
      <c r="G27" s="335"/>
      <c r="H27" s="335"/>
      <c r="I27" s="417"/>
    </row>
    <row r="28" spans="1:14" hidden="1">
      <c r="A28" s="333" t="s">
        <v>893</v>
      </c>
      <c r="B28" s="335"/>
      <c r="C28" s="335"/>
      <c r="D28" s="335"/>
      <c r="E28" s="335"/>
      <c r="F28" s="335"/>
      <c r="G28" s="335"/>
      <c r="H28" s="335"/>
      <c r="I28" s="417"/>
    </row>
    <row r="29" spans="1:14" hidden="1">
      <c r="A29" s="333" t="s">
        <v>894</v>
      </c>
      <c r="B29" s="335"/>
      <c r="C29" s="335"/>
      <c r="D29" s="335"/>
      <c r="E29" s="335"/>
      <c r="F29" s="335"/>
      <c r="G29" s="335"/>
      <c r="H29" s="335"/>
      <c r="I29" s="417"/>
    </row>
    <row r="30" spans="1:14">
      <c r="A30" s="596"/>
      <c r="B30" s="335"/>
      <c r="C30" s="335"/>
      <c r="D30" s="420"/>
      <c r="E30" s="420"/>
      <c r="F30" s="420"/>
      <c r="G30" s="420"/>
      <c r="H30" s="420"/>
      <c r="I30" s="417"/>
    </row>
    <row r="31" spans="1:14">
      <c r="A31" s="596" t="s">
        <v>959</v>
      </c>
      <c r="B31" s="335"/>
      <c r="C31" s="335"/>
      <c r="D31" s="420"/>
      <c r="E31" s="420"/>
      <c r="F31" s="420"/>
      <c r="G31" s="420"/>
      <c r="H31" s="420"/>
      <c r="I31" s="417"/>
    </row>
    <row r="32" spans="1:14">
      <c r="A32" s="653" t="str">
        <f>+'Input Sheet'!B6</f>
        <v>Total Input (Paddy) (MT)</v>
      </c>
      <c r="B32" s="321">
        <f t="shared" ref="B32:H36" si="6">+ROUND(B$17*B$19*$I32,0)</f>
        <v>2400</v>
      </c>
      <c r="C32" s="321">
        <f t="shared" si="6"/>
        <v>2640</v>
      </c>
      <c r="D32" s="346">
        <f t="shared" si="6"/>
        <v>2880</v>
      </c>
      <c r="E32" s="346">
        <f t="shared" si="6"/>
        <v>3120</v>
      </c>
      <c r="F32" s="346">
        <f t="shared" si="6"/>
        <v>3360</v>
      </c>
      <c r="G32" s="346">
        <f t="shared" si="6"/>
        <v>3600</v>
      </c>
      <c r="H32" s="346">
        <f t="shared" si="6"/>
        <v>3840</v>
      </c>
      <c r="I32" s="571">
        <f>+'Input Sheet'!C6</f>
        <v>1</v>
      </c>
    </row>
    <row r="33" spans="1:9" hidden="1">
      <c r="A33" s="653" t="str">
        <f>+'Input Sheet'!B7</f>
        <v>Total Input (Moong) (MT)</v>
      </c>
      <c r="B33" s="321">
        <f t="shared" si="6"/>
        <v>0</v>
      </c>
      <c r="C33" s="321">
        <f t="shared" si="6"/>
        <v>0</v>
      </c>
      <c r="D33" s="346">
        <f t="shared" si="6"/>
        <v>0</v>
      </c>
      <c r="E33" s="346">
        <f t="shared" si="6"/>
        <v>0</v>
      </c>
      <c r="F33" s="346">
        <f t="shared" si="6"/>
        <v>0</v>
      </c>
      <c r="G33" s="346">
        <f t="shared" si="6"/>
        <v>0</v>
      </c>
      <c r="H33" s="346">
        <f t="shared" si="6"/>
        <v>0</v>
      </c>
      <c r="I33" s="571">
        <f>+'Input Sheet'!C7</f>
        <v>0</v>
      </c>
    </row>
    <row r="34" spans="1:9" hidden="1">
      <c r="A34" s="653" t="str">
        <f>+'Input Sheet'!B8</f>
        <v>Total Input -Udad (MT)</v>
      </c>
      <c r="B34" s="321">
        <f t="shared" si="6"/>
        <v>0</v>
      </c>
      <c r="C34" s="321">
        <f t="shared" si="6"/>
        <v>0</v>
      </c>
      <c r="D34" s="346">
        <f t="shared" si="6"/>
        <v>0</v>
      </c>
      <c r="E34" s="346">
        <f t="shared" si="6"/>
        <v>0</v>
      </c>
      <c r="F34" s="346">
        <f t="shared" si="6"/>
        <v>0</v>
      </c>
      <c r="G34" s="346">
        <f t="shared" si="6"/>
        <v>0</v>
      </c>
      <c r="H34" s="346">
        <f t="shared" si="6"/>
        <v>0</v>
      </c>
      <c r="I34" s="571">
        <f>+'Input Sheet'!C8</f>
        <v>0</v>
      </c>
    </row>
    <row r="35" spans="1:9" hidden="1">
      <c r="A35" s="653" t="str">
        <f>+'Input Sheet'!B9</f>
        <v>Total Input -Tur (MT)</v>
      </c>
      <c r="B35" s="321">
        <f t="shared" si="6"/>
        <v>0</v>
      </c>
      <c r="C35" s="321">
        <f t="shared" si="6"/>
        <v>0</v>
      </c>
      <c r="D35" s="346">
        <f t="shared" si="6"/>
        <v>0</v>
      </c>
      <c r="E35" s="346">
        <f t="shared" si="6"/>
        <v>0</v>
      </c>
      <c r="F35" s="346">
        <f t="shared" si="6"/>
        <v>0</v>
      </c>
      <c r="G35" s="346">
        <f t="shared" si="6"/>
        <v>0</v>
      </c>
      <c r="H35" s="346">
        <f t="shared" si="6"/>
        <v>0</v>
      </c>
      <c r="I35" s="571">
        <f>+'Input Sheet'!C9</f>
        <v>0</v>
      </c>
    </row>
    <row r="36" spans="1:9" hidden="1">
      <c r="A36" s="653" t="str">
        <f>+'Input Sheet'!B10</f>
        <v>Total Input -Chilli (MT)</v>
      </c>
      <c r="B36" s="321">
        <f t="shared" si="6"/>
        <v>0</v>
      </c>
      <c r="C36" s="321">
        <f t="shared" si="6"/>
        <v>0</v>
      </c>
      <c r="D36" s="346">
        <f t="shared" si="6"/>
        <v>0</v>
      </c>
      <c r="E36" s="346">
        <f t="shared" si="6"/>
        <v>0</v>
      </c>
      <c r="F36" s="346">
        <f t="shared" si="6"/>
        <v>0</v>
      </c>
      <c r="G36" s="346">
        <f t="shared" si="6"/>
        <v>0</v>
      </c>
      <c r="H36" s="346">
        <f t="shared" si="6"/>
        <v>0</v>
      </c>
      <c r="I36" s="571">
        <f>+'Input Sheet'!C10</f>
        <v>0</v>
      </c>
    </row>
    <row r="37" spans="1:9">
      <c r="A37" s="653" t="s">
        <v>860</v>
      </c>
      <c r="B37" s="337">
        <f t="shared" ref="B37:H37" si="7">SUM(B32:B36)</f>
        <v>2400</v>
      </c>
      <c r="C37" s="337">
        <f t="shared" si="7"/>
        <v>2640</v>
      </c>
      <c r="D37" s="337">
        <f t="shared" si="7"/>
        <v>2880</v>
      </c>
      <c r="E37" s="337">
        <f t="shared" si="7"/>
        <v>3120</v>
      </c>
      <c r="F37" s="337">
        <f t="shared" si="7"/>
        <v>3360</v>
      </c>
      <c r="G37" s="337">
        <f t="shared" si="7"/>
        <v>3600</v>
      </c>
      <c r="H37" s="337">
        <f t="shared" si="7"/>
        <v>3840</v>
      </c>
      <c r="I37" s="417"/>
    </row>
    <row r="38" spans="1:9">
      <c r="A38" s="395"/>
      <c r="B38" s="337"/>
      <c r="C38" s="337"/>
      <c r="D38" s="389"/>
      <c r="E38" s="389"/>
      <c r="F38" s="389"/>
      <c r="G38" s="389"/>
      <c r="H38" s="389"/>
      <c r="I38" s="417"/>
    </row>
    <row r="39" spans="1:9" ht="30">
      <c r="A39" s="654" t="str">
        <f>+'Input Sheet'!B28</f>
        <v>Captive Operations Grade Output (Paddy)(MT)</v>
      </c>
      <c r="B39" s="321"/>
      <c r="C39" s="321"/>
      <c r="D39" s="346"/>
      <c r="E39" s="346"/>
      <c r="F39" s="346"/>
      <c r="G39" s="346"/>
      <c r="H39" s="346"/>
      <c r="I39" s="417"/>
    </row>
    <row r="40" spans="1:9">
      <c r="A40" s="654" t="str">
        <f>+'Input Sheet'!B29</f>
        <v xml:space="preserve">Rice </v>
      </c>
      <c r="B40" s="337">
        <f t="shared" ref="B40:H43" si="8">+ROUND(B$32*$I40,0)</f>
        <v>1200</v>
      </c>
      <c r="C40" s="337">
        <f t="shared" si="8"/>
        <v>1320</v>
      </c>
      <c r="D40" s="389">
        <f t="shared" si="8"/>
        <v>1440</v>
      </c>
      <c r="E40" s="389">
        <f t="shared" si="8"/>
        <v>1560</v>
      </c>
      <c r="F40" s="389">
        <f t="shared" si="8"/>
        <v>1680</v>
      </c>
      <c r="G40" s="389">
        <f t="shared" si="8"/>
        <v>1800</v>
      </c>
      <c r="H40" s="389">
        <f t="shared" si="8"/>
        <v>1920</v>
      </c>
      <c r="I40" s="572">
        <f>+'Input Sheet'!C29</f>
        <v>0.5</v>
      </c>
    </row>
    <row r="41" spans="1:9">
      <c r="A41" s="654" t="str">
        <f>+'Input Sheet'!B30</f>
        <v xml:space="preserve">Husk </v>
      </c>
      <c r="B41" s="337">
        <f t="shared" si="8"/>
        <v>480</v>
      </c>
      <c r="C41" s="337">
        <f t="shared" si="8"/>
        <v>528</v>
      </c>
      <c r="D41" s="389">
        <f t="shared" si="8"/>
        <v>576</v>
      </c>
      <c r="E41" s="389">
        <f t="shared" si="8"/>
        <v>624</v>
      </c>
      <c r="F41" s="389">
        <f t="shared" si="8"/>
        <v>672</v>
      </c>
      <c r="G41" s="389">
        <f t="shared" si="8"/>
        <v>720</v>
      </c>
      <c r="H41" s="389">
        <f t="shared" si="8"/>
        <v>768</v>
      </c>
      <c r="I41" s="572">
        <f>+'Input Sheet'!C30</f>
        <v>0.2</v>
      </c>
    </row>
    <row r="42" spans="1:9">
      <c r="A42" s="654" t="str">
        <f>+'Input Sheet'!B31</f>
        <v>Boken</v>
      </c>
      <c r="B42" s="337">
        <f>+ROUND(B$32*$I42,0)</f>
        <v>480</v>
      </c>
      <c r="C42" s="337">
        <f t="shared" si="8"/>
        <v>528</v>
      </c>
      <c r="D42" s="389">
        <f t="shared" si="8"/>
        <v>576</v>
      </c>
      <c r="E42" s="389">
        <f t="shared" si="8"/>
        <v>624</v>
      </c>
      <c r="F42" s="389">
        <f t="shared" si="8"/>
        <v>672</v>
      </c>
      <c r="G42" s="389">
        <f t="shared" si="8"/>
        <v>720</v>
      </c>
      <c r="H42" s="389">
        <f t="shared" si="8"/>
        <v>768</v>
      </c>
      <c r="I42" s="572">
        <f>+'Input Sheet'!C31</f>
        <v>0.2</v>
      </c>
    </row>
    <row r="43" spans="1:9">
      <c r="A43" s="654" t="str">
        <f>+'Input Sheet'!B32</f>
        <v>Bran</v>
      </c>
      <c r="B43" s="321">
        <f>+ROUND(B$32*$I43,0)</f>
        <v>192</v>
      </c>
      <c r="C43" s="321">
        <f t="shared" si="8"/>
        <v>211</v>
      </c>
      <c r="D43" s="321">
        <f t="shared" si="8"/>
        <v>230</v>
      </c>
      <c r="E43" s="321">
        <f t="shared" si="8"/>
        <v>250</v>
      </c>
      <c r="F43" s="321">
        <f t="shared" si="8"/>
        <v>269</v>
      </c>
      <c r="G43" s="321">
        <f t="shared" si="8"/>
        <v>288</v>
      </c>
      <c r="H43" s="321">
        <f t="shared" si="8"/>
        <v>307</v>
      </c>
      <c r="I43" s="572">
        <f>+'Input Sheet'!C32</f>
        <v>0.08</v>
      </c>
    </row>
    <row r="44" spans="1:9" ht="30" hidden="1">
      <c r="A44" s="654" t="str">
        <f>+'Input Sheet'!B35</f>
        <v>Captive Operations Grade Output (Moong)(MT)</v>
      </c>
      <c r="B44" s="321"/>
      <c r="C44" s="321"/>
      <c r="D44" s="346"/>
      <c r="E44" s="346"/>
      <c r="F44" s="346"/>
      <c r="G44" s="346"/>
      <c r="H44" s="346"/>
      <c r="I44" s="417"/>
    </row>
    <row r="45" spans="1:9" hidden="1">
      <c r="A45" s="654" t="str">
        <f>+'Input Sheet'!B36</f>
        <v>Grade I</v>
      </c>
      <c r="B45" s="337">
        <f t="shared" ref="B45:H47" si="9">+ROUND(B$33*$I45,0)</f>
        <v>0</v>
      </c>
      <c r="C45" s="337">
        <f t="shared" si="9"/>
        <v>0</v>
      </c>
      <c r="D45" s="389">
        <f t="shared" si="9"/>
        <v>0</v>
      </c>
      <c r="E45" s="389">
        <f t="shared" si="9"/>
        <v>0</v>
      </c>
      <c r="F45" s="389">
        <f t="shared" si="9"/>
        <v>0</v>
      </c>
      <c r="G45" s="389">
        <f t="shared" si="9"/>
        <v>0</v>
      </c>
      <c r="H45" s="389">
        <f t="shared" si="9"/>
        <v>0</v>
      </c>
      <c r="I45" s="572">
        <f>+'Input Sheet'!C36</f>
        <v>0.5</v>
      </c>
    </row>
    <row r="46" spans="1:9" hidden="1">
      <c r="A46" s="654" t="str">
        <f>+'Input Sheet'!B37</f>
        <v>Grade II</v>
      </c>
      <c r="B46" s="337">
        <f t="shared" si="9"/>
        <v>0</v>
      </c>
      <c r="C46" s="337">
        <f t="shared" si="9"/>
        <v>0</v>
      </c>
      <c r="D46" s="389">
        <f t="shared" si="9"/>
        <v>0</v>
      </c>
      <c r="E46" s="389">
        <f t="shared" si="9"/>
        <v>0</v>
      </c>
      <c r="F46" s="389">
        <f t="shared" si="9"/>
        <v>0</v>
      </c>
      <c r="G46" s="389">
        <f t="shared" si="9"/>
        <v>0</v>
      </c>
      <c r="H46" s="389">
        <f t="shared" si="9"/>
        <v>0</v>
      </c>
      <c r="I46" s="572">
        <f>+'Input Sheet'!C37</f>
        <v>0.45</v>
      </c>
    </row>
    <row r="47" spans="1:9" hidden="1">
      <c r="A47" s="654" t="str">
        <f>+'Input Sheet'!B38</f>
        <v>Waste</v>
      </c>
      <c r="B47" s="337">
        <f t="shared" si="9"/>
        <v>0</v>
      </c>
      <c r="C47" s="337">
        <f t="shared" si="9"/>
        <v>0</v>
      </c>
      <c r="D47" s="389">
        <f t="shared" si="9"/>
        <v>0</v>
      </c>
      <c r="E47" s="389">
        <f t="shared" si="9"/>
        <v>0</v>
      </c>
      <c r="F47" s="389">
        <f t="shared" si="9"/>
        <v>0</v>
      </c>
      <c r="G47" s="389">
        <f t="shared" si="9"/>
        <v>0</v>
      </c>
      <c r="H47" s="389">
        <f t="shared" si="9"/>
        <v>0</v>
      </c>
      <c r="I47" s="572">
        <f>+'Input Sheet'!C38</f>
        <v>0.05</v>
      </c>
    </row>
    <row r="48" spans="1:9" hidden="1">
      <c r="A48" s="393"/>
      <c r="B48" s="321"/>
      <c r="C48" s="321"/>
      <c r="D48" s="346"/>
      <c r="E48" s="346"/>
      <c r="F48" s="346"/>
      <c r="G48" s="346"/>
      <c r="H48" s="346"/>
      <c r="I48" s="417"/>
    </row>
    <row r="49" spans="1:9" ht="30" hidden="1">
      <c r="A49" s="655" t="str">
        <f>+'Input Sheet'!B42</f>
        <v>Captive Operations Grade Output (Udad)(MT)</v>
      </c>
      <c r="B49" s="321"/>
      <c r="C49" s="321"/>
      <c r="D49" s="346"/>
      <c r="E49" s="346"/>
      <c r="F49" s="346"/>
      <c r="G49" s="346"/>
      <c r="H49" s="346"/>
      <c r="I49" s="417"/>
    </row>
    <row r="50" spans="1:9" hidden="1">
      <c r="A50" s="656" t="str">
        <f>+'Input Sheet'!B43</f>
        <v>Grade I</v>
      </c>
      <c r="B50" s="337">
        <f t="shared" ref="B50:H50" si="10">+ROUND(B$34*$I50,0)</f>
        <v>0</v>
      </c>
      <c r="C50" s="337">
        <f t="shared" si="10"/>
        <v>0</v>
      </c>
      <c r="D50" s="389">
        <f t="shared" si="10"/>
        <v>0</v>
      </c>
      <c r="E50" s="389">
        <f t="shared" si="10"/>
        <v>0</v>
      </c>
      <c r="F50" s="389">
        <f t="shared" si="10"/>
        <v>0</v>
      </c>
      <c r="G50" s="389">
        <f t="shared" si="10"/>
        <v>0</v>
      </c>
      <c r="H50" s="389">
        <f t="shared" si="10"/>
        <v>0</v>
      </c>
      <c r="I50" s="572">
        <f>+'Input Sheet'!C43</f>
        <v>0.5</v>
      </c>
    </row>
    <row r="51" spans="1:9" hidden="1">
      <c r="A51" s="656" t="str">
        <f>+'Input Sheet'!B44</f>
        <v>Grade II</v>
      </c>
      <c r="B51" s="337">
        <f t="shared" ref="B51:H51" si="11">+ROUND(B$34*$I51,0)</f>
        <v>0</v>
      </c>
      <c r="C51" s="337">
        <f t="shared" si="11"/>
        <v>0</v>
      </c>
      <c r="D51" s="337">
        <f t="shared" si="11"/>
        <v>0</v>
      </c>
      <c r="E51" s="337">
        <f t="shared" si="11"/>
        <v>0</v>
      </c>
      <c r="F51" s="337">
        <f t="shared" si="11"/>
        <v>0</v>
      </c>
      <c r="G51" s="337">
        <f t="shared" si="11"/>
        <v>0</v>
      </c>
      <c r="H51" s="337">
        <f t="shared" si="11"/>
        <v>0</v>
      </c>
      <c r="I51" s="572">
        <f>+'Input Sheet'!C44</f>
        <v>0.45</v>
      </c>
    </row>
    <row r="52" spans="1:9" hidden="1">
      <c r="A52" s="656" t="str">
        <f>+'Input Sheet'!B45</f>
        <v>Waste</v>
      </c>
      <c r="B52" s="337">
        <f t="shared" ref="B52:H52" si="12">+ROUND(B$34*$I52,0)</f>
        <v>0</v>
      </c>
      <c r="C52" s="337">
        <f t="shared" si="12"/>
        <v>0</v>
      </c>
      <c r="D52" s="389">
        <f t="shared" si="12"/>
        <v>0</v>
      </c>
      <c r="E52" s="389">
        <f t="shared" si="12"/>
        <v>0</v>
      </c>
      <c r="F52" s="389">
        <f t="shared" si="12"/>
        <v>0</v>
      </c>
      <c r="G52" s="389">
        <f t="shared" si="12"/>
        <v>0</v>
      </c>
      <c r="H52" s="389">
        <f t="shared" si="12"/>
        <v>0</v>
      </c>
      <c r="I52" s="572">
        <f>+'Input Sheet'!C45</f>
        <v>0.05</v>
      </c>
    </row>
    <row r="53" spans="1:9" hidden="1">
      <c r="A53" s="393"/>
      <c r="B53" s="321"/>
      <c r="C53" s="321"/>
      <c r="D53" s="346"/>
      <c r="E53" s="346"/>
      <c r="F53" s="346"/>
      <c r="G53" s="346"/>
      <c r="H53" s="346"/>
      <c r="I53" s="417"/>
    </row>
    <row r="54" spans="1:9" ht="30" hidden="1">
      <c r="A54" s="655" t="str">
        <f>+'Input Sheet'!B47</f>
        <v>Captive Operations Grade Output -Tur(MT)</v>
      </c>
      <c r="B54" s="321"/>
      <c r="C54" s="321"/>
      <c r="D54" s="346"/>
      <c r="E54" s="346"/>
      <c r="F54" s="346"/>
      <c r="G54" s="346"/>
      <c r="H54" s="346"/>
      <c r="I54" s="417"/>
    </row>
    <row r="55" spans="1:9" hidden="1">
      <c r="A55" s="656" t="str">
        <f>+'Input Sheet'!B48</f>
        <v>Grade I</v>
      </c>
      <c r="B55" s="337">
        <f t="shared" ref="B55:H57" si="13">+ROUND(B$35*$I55,0)</f>
        <v>0</v>
      </c>
      <c r="C55" s="337">
        <f t="shared" si="13"/>
        <v>0</v>
      </c>
      <c r="D55" s="389">
        <f t="shared" si="13"/>
        <v>0</v>
      </c>
      <c r="E55" s="389">
        <f t="shared" si="13"/>
        <v>0</v>
      </c>
      <c r="F55" s="389">
        <f t="shared" si="13"/>
        <v>0</v>
      </c>
      <c r="G55" s="389">
        <f t="shared" si="13"/>
        <v>0</v>
      </c>
      <c r="H55" s="389">
        <f t="shared" si="13"/>
        <v>0</v>
      </c>
      <c r="I55" s="572">
        <f>+'Input Sheet'!C48</f>
        <v>0.5</v>
      </c>
    </row>
    <row r="56" spans="1:9" hidden="1">
      <c r="A56" s="656" t="str">
        <f>+'Input Sheet'!B49</f>
        <v>Grade II</v>
      </c>
      <c r="B56" s="337">
        <f t="shared" si="13"/>
        <v>0</v>
      </c>
      <c r="C56" s="337">
        <f t="shared" si="13"/>
        <v>0</v>
      </c>
      <c r="D56" s="389">
        <f t="shared" si="13"/>
        <v>0</v>
      </c>
      <c r="E56" s="389">
        <f t="shared" si="13"/>
        <v>0</v>
      </c>
      <c r="F56" s="389">
        <f t="shared" si="13"/>
        <v>0</v>
      </c>
      <c r="G56" s="389">
        <f t="shared" si="13"/>
        <v>0</v>
      </c>
      <c r="H56" s="389">
        <f t="shared" si="13"/>
        <v>0</v>
      </c>
      <c r="I56" s="572">
        <f>+'Input Sheet'!C49</f>
        <v>0.45</v>
      </c>
    </row>
    <row r="57" spans="1:9" hidden="1">
      <c r="A57" s="656" t="str">
        <f>+'Input Sheet'!B50</f>
        <v>Waste</v>
      </c>
      <c r="B57" s="337">
        <f t="shared" si="13"/>
        <v>0</v>
      </c>
      <c r="C57" s="337">
        <f t="shared" si="13"/>
        <v>0</v>
      </c>
      <c r="D57" s="389">
        <f t="shared" si="13"/>
        <v>0</v>
      </c>
      <c r="E57" s="389">
        <f t="shared" si="13"/>
        <v>0</v>
      </c>
      <c r="F57" s="389">
        <f t="shared" si="13"/>
        <v>0</v>
      </c>
      <c r="G57" s="389">
        <f t="shared" si="13"/>
        <v>0</v>
      </c>
      <c r="H57" s="389">
        <f t="shared" si="13"/>
        <v>0</v>
      </c>
      <c r="I57" s="572">
        <f>+'Input Sheet'!C50</f>
        <v>0.05</v>
      </c>
    </row>
    <row r="58" spans="1:9">
      <c r="A58" s="393"/>
      <c r="B58" s="321"/>
      <c r="C58" s="321"/>
      <c r="D58" s="346"/>
      <c r="E58" s="346"/>
      <c r="F58" s="346"/>
      <c r="G58" s="346"/>
      <c r="H58" s="346"/>
      <c r="I58" s="417"/>
    </row>
    <row r="59" spans="1:9" ht="30" hidden="1">
      <c r="A59" s="655" t="str">
        <f>+'Input Sheet'!B52</f>
        <v>Captive Operations Grade Output -Chilli(MT)</v>
      </c>
      <c r="B59" s="321"/>
      <c r="C59" s="321"/>
      <c r="D59" s="346"/>
      <c r="E59" s="346"/>
      <c r="F59" s="346"/>
      <c r="G59" s="346"/>
      <c r="H59" s="346"/>
      <c r="I59" s="417"/>
    </row>
    <row r="60" spans="1:9" hidden="1">
      <c r="A60" s="656" t="str">
        <f>+'Input Sheet'!B53</f>
        <v>Green Chilli</v>
      </c>
      <c r="B60" s="337">
        <f t="shared" ref="B60:H62" si="14">+ROUND(B$36*$I60,0)</f>
        <v>0</v>
      </c>
      <c r="C60" s="337">
        <f t="shared" si="14"/>
        <v>0</v>
      </c>
      <c r="D60" s="389">
        <f t="shared" si="14"/>
        <v>0</v>
      </c>
      <c r="E60" s="389">
        <f t="shared" si="14"/>
        <v>0</v>
      </c>
      <c r="F60" s="389">
        <f t="shared" si="14"/>
        <v>0</v>
      </c>
      <c r="G60" s="389">
        <f t="shared" si="14"/>
        <v>0</v>
      </c>
      <c r="H60" s="389">
        <f t="shared" si="14"/>
        <v>0</v>
      </c>
      <c r="I60" s="572">
        <f>+'Input Sheet'!C53</f>
        <v>0</v>
      </c>
    </row>
    <row r="61" spans="1:9" hidden="1">
      <c r="A61" s="656" t="str">
        <f>+'Input Sheet'!B54</f>
        <v>Red Chilli</v>
      </c>
      <c r="B61" s="337">
        <f t="shared" si="14"/>
        <v>0</v>
      </c>
      <c r="C61" s="337">
        <f t="shared" si="14"/>
        <v>0</v>
      </c>
      <c r="D61" s="389">
        <f t="shared" si="14"/>
        <v>0</v>
      </c>
      <c r="E61" s="389">
        <f t="shared" si="14"/>
        <v>0</v>
      </c>
      <c r="F61" s="389">
        <f t="shared" si="14"/>
        <v>0</v>
      </c>
      <c r="G61" s="389">
        <f t="shared" si="14"/>
        <v>0</v>
      </c>
      <c r="H61" s="389">
        <f t="shared" si="14"/>
        <v>0</v>
      </c>
      <c r="I61" s="572">
        <f>+'Input Sheet'!C54</f>
        <v>0</v>
      </c>
    </row>
    <row r="62" spans="1:9" hidden="1">
      <c r="A62" s="656" t="str">
        <f>+'Input Sheet'!B55</f>
        <v>Waste</v>
      </c>
      <c r="B62" s="337">
        <f t="shared" si="14"/>
        <v>0</v>
      </c>
      <c r="C62" s="337">
        <f t="shared" si="14"/>
        <v>0</v>
      </c>
      <c r="D62" s="389">
        <f t="shared" si="14"/>
        <v>0</v>
      </c>
      <c r="E62" s="389">
        <f t="shared" si="14"/>
        <v>0</v>
      </c>
      <c r="F62" s="389">
        <f t="shared" si="14"/>
        <v>0</v>
      </c>
      <c r="G62" s="389">
        <f t="shared" si="14"/>
        <v>0</v>
      </c>
      <c r="H62" s="389">
        <f t="shared" si="14"/>
        <v>0</v>
      </c>
      <c r="I62" s="572">
        <f>+'Input Sheet'!C55</f>
        <v>0</v>
      </c>
    </row>
    <row r="63" spans="1:9" hidden="1">
      <c r="A63" s="393"/>
      <c r="B63" s="321"/>
      <c r="C63" s="321"/>
      <c r="D63" s="346"/>
      <c r="E63" s="346"/>
      <c r="F63" s="346"/>
      <c r="G63" s="346"/>
      <c r="H63" s="346"/>
      <c r="I63" s="417"/>
    </row>
    <row r="64" spans="1:9">
      <c r="A64" s="393"/>
      <c r="B64" s="321"/>
      <c r="C64" s="321"/>
      <c r="D64" s="346"/>
      <c r="E64" s="346"/>
      <c r="F64" s="346"/>
      <c r="G64" s="346"/>
      <c r="H64" s="346"/>
      <c r="I64" s="417"/>
    </row>
    <row r="65" spans="1:10">
      <c r="A65" s="393"/>
      <c r="B65" s="321"/>
      <c r="C65" s="321"/>
      <c r="D65" s="346"/>
      <c r="E65" s="346"/>
      <c r="F65" s="346"/>
      <c r="G65" s="346"/>
      <c r="H65" s="346"/>
      <c r="I65" s="417"/>
    </row>
    <row r="66" spans="1:10">
      <c r="A66" s="393" t="s">
        <v>922</v>
      </c>
      <c r="B66" s="321">
        <f>+B7*B8</f>
        <v>40</v>
      </c>
      <c r="C66" s="321">
        <f t="shared" ref="C66:H66" si="15">+B66</f>
        <v>40</v>
      </c>
      <c r="D66" s="346">
        <f t="shared" si="15"/>
        <v>40</v>
      </c>
      <c r="E66" s="346">
        <f t="shared" si="15"/>
        <v>40</v>
      </c>
      <c r="F66" s="346">
        <f t="shared" si="15"/>
        <v>40</v>
      </c>
      <c r="G66" s="346">
        <f t="shared" si="15"/>
        <v>40</v>
      </c>
      <c r="H66" s="346">
        <f t="shared" si="15"/>
        <v>40</v>
      </c>
      <c r="I66" s="417"/>
    </row>
    <row r="67" spans="1:10">
      <c r="A67" s="395" t="s">
        <v>663</v>
      </c>
      <c r="B67" s="334">
        <f t="shared" ref="B67:H67" si="16">ROUND(B22/B66,0)</f>
        <v>90</v>
      </c>
      <c r="C67" s="334">
        <f t="shared" si="16"/>
        <v>99</v>
      </c>
      <c r="D67" s="334">
        <f t="shared" si="16"/>
        <v>108</v>
      </c>
      <c r="E67" s="334">
        <f t="shared" si="16"/>
        <v>117</v>
      </c>
      <c r="F67" s="334">
        <f t="shared" si="16"/>
        <v>126</v>
      </c>
      <c r="G67" s="334">
        <f t="shared" si="16"/>
        <v>135</v>
      </c>
      <c r="H67" s="334">
        <f t="shared" si="16"/>
        <v>144</v>
      </c>
      <c r="I67" s="417"/>
    </row>
    <row r="68" spans="1:10" ht="45">
      <c r="A68" s="395" t="s">
        <v>923</v>
      </c>
      <c r="B68" s="334">
        <f t="shared" ref="B68:H68" si="17">ROUND((SUM(B32:B36))/B66,0)</f>
        <v>60</v>
      </c>
      <c r="C68" s="334">
        <f t="shared" si="17"/>
        <v>66</v>
      </c>
      <c r="D68" s="334">
        <f t="shared" si="17"/>
        <v>72</v>
      </c>
      <c r="E68" s="334">
        <f t="shared" si="17"/>
        <v>78</v>
      </c>
      <c r="F68" s="334">
        <f t="shared" si="17"/>
        <v>84</v>
      </c>
      <c r="G68" s="334">
        <f t="shared" si="17"/>
        <v>90</v>
      </c>
      <c r="H68" s="334">
        <f t="shared" si="17"/>
        <v>96</v>
      </c>
      <c r="I68" s="417"/>
    </row>
    <row r="69" spans="1:10">
      <c r="A69" s="646" t="s">
        <v>675</v>
      </c>
      <c r="B69" s="322">
        <f>+B67+B68</f>
        <v>150</v>
      </c>
      <c r="C69" s="322">
        <f t="shared" ref="C69:H69" si="18">+C67+C68</f>
        <v>165</v>
      </c>
      <c r="D69" s="322">
        <f t="shared" si="18"/>
        <v>180</v>
      </c>
      <c r="E69" s="322">
        <f t="shared" si="18"/>
        <v>195</v>
      </c>
      <c r="F69" s="322">
        <f t="shared" si="18"/>
        <v>210</v>
      </c>
      <c r="G69" s="322">
        <f t="shared" si="18"/>
        <v>225</v>
      </c>
      <c r="H69" s="322">
        <f t="shared" si="18"/>
        <v>240</v>
      </c>
      <c r="I69" s="421"/>
    </row>
    <row r="70" spans="1:10">
      <c r="A70" s="649"/>
      <c r="B70" s="79"/>
      <c r="C70" s="79"/>
      <c r="D70" s="94"/>
      <c r="E70" s="94"/>
      <c r="F70" s="94"/>
      <c r="G70" s="94"/>
      <c r="H70" s="94"/>
    </row>
    <row r="71" spans="1:10">
      <c r="A71" s="649"/>
      <c r="B71" s="79"/>
      <c r="C71" s="79"/>
      <c r="D71" s="94"/>
      <c r="E71" s="94"/>
      <c r="F71" s="94"/>
      <c r="G71" s="94"/>
      <c r="H71" s="94"/>
    </row>
    <row r="72" spans="1:10">
      <c r="A72" s="649"/>
      <c r="B72" s="79"/>
      <c r="C72" s="79"/>
      <c r="D72" s="94"/>
      <c r="E72" s="94"/>
      <c r="F72" s="94"/>
      <c r="G72" s="94"/>
      <c r="H72" s="94"/>
    </row>
    <row r="73" spans="1:10">
      <c r="B73" s="27"/>
      <c r="C73" s="27"/>
    </row>
    <row r="74" spans="1:10" ht="18.75">
      <c r="A74" s="703" t="s">
        <v>962</v>
      </c>
      <c r="B74" s="703"/>
      <c r="C74" s="703"/>
      <c r="D74" s="703"/>
      <c r="E74" s="703"/>
      <c r="F74" s="703"/>
      <c r="G74" s="703"/>
      <c r="H74" s="703"/>
      <c r="I74" s="703"/>
      <c r="J74" s="703"/>
    </row>
    <row r="75" spans="1:10">
      <c r="A75" s="635"/>
      <c r="B75" s="274"/>
      <c r="C75" s="274"/>
      <c r="D75" s="422"/>
      <c r="E75" s="422"/>
      <c r="F75" s="422"/>
      <c r="G75" s="422"/>
      <c r="H75" s="422"/>
    </row>
    <row r="76" spans="1:10">
      <c r="A76" s="657"/>
      <c r="B76" s="277"/>
      <c r="C76" s="277"/>
      <c r="D76" s="423">
        <v>1</v>
      </c>
      <c r="E76" s="423">
        <f t="shared" ref="E76:J76" si="19">(D76*5%)+D76</f>
        <v>1.05</v>
      </c>
      <c r="F76" s="423">
        <f t="shared" si="19"/>
        <v>1.1025</v>
      </c>
      <c r="G76" s="423">
        <f t="shared" si="19"/>
        <v>1.1576250000000001</v>
      </c>
      <c r="H76" s="423">
        <f t="shared" si="19"/>
        <v>1.2155062500000002</v>
      </c>
      <c r="I76" s="423">
        <f t="shared" si="19"/>
        <v>1.2762815625000004</v>
      </c>
      <c r="J76" s="423">
        <f t="shared" si="19"/>
        <v>1.3400956406250004</v>
      </c>
    </row>
    <row r="77" spans="1:10">
      <c r="A77" s="649"/>
      <c r="B77" s="79"/>
      <c r="C77" s="79"/>
      <c r="D77" s="94"/>
      <c r="E77" s="94"/>
      <c r="F77" s="94"/>
      <c r="G77" s="94"/>
      <c r="H77" s="94"/>
      <c r="I77" s="94"/>
      <c r="J77" s="94"/>
    </row>
    <row r="78" spans="1:10">
      <c r="A78" s="49" t="s">
        <v>0</v>
      </c>
      <c r="B78" s="122" t="s">
        <v>128</v>
      </c>
      <c r="C78" s="122" t="s">
        <v>148</v>
      </c>
      <c r="D78" s="397" t="s">
        <v>2</v>
      </c>
      <c r="E78" s="397" t="s">
        <v>3</v>
      </c>
      <c r="F78" s="397" t="s">
        <v>4</v>
      </c>
      <c r="G78" s="397" t="s">
        <v>5</v>
      </c>
      <c r="H78" s="397" t="s">
        <v>6</v>
      </c>
      <c r="I78" s="397" t="s">
        <v>164</v>
      </c>
      <c r="J78" s="397" t="s">
        <v>163</v>
      </c>
    </row>
    <row r="79" spans="1:10">
      <c r="A79" s="92"/>
      <c r="B79" s="80"/>
      <c r="C79" s="80"/>
      <c r="D79" s="363"/>
      <c r="E79" s="363"/>
      <c r="F79" s="363"/>
      <c r="G79" s="363"/>
      <c r="H79" s="363"/>
      <c r="I79" s="363"/>
      <c r="J79" s="363"/>
    </row>
    <row r="80" spans="1:10">
      <c r="A80" s="158" t="s">
        <v>124</v>
      </c>
      <c r="B80" s="82"/>
      <c r="C80" s="82"/>
      <c r="D80" s="424"/>
      <c r="E80" s="424"/>
      <c r="F80" s="424"/>
      <c r="G80" s="424"/>
      <c r="H80" s="424"/>
      <c r="I80" s="363"/>
      <c r="J80" s="363"/>
    </row>
    <row r="81" spans="1:11" s="365" customFormat="1">
      <c r="A81" s="623" t="s">
        <v>284</v>
      </c>
      <c r="B81" s="364" t="s">
        <v>289</v>
      </c>
      <c r="C81" s="361">
        <f>+B23</f>
        <v>900</v>
      </c>
      <c r="D81" s="533">
        <f t="shared" ref="D81:J81" si="20">B22*$C81*D$76/100000</f>
        <v>32.4</v>
      </c>
      <c r="E81" s="533">
        <f t="shared" si="20"/>
        <v>37.422000000000004</v>
      </c>
      <c r="F81" s="533">
        <f t="shared" si="20"/>
        <v>42.865200000000009</v>
      </c>
      <c r="G81" s="533">
        <f t="shared" si="20"/>
        <v>48.759165000000017</v>
      </c>
      <c r="H81" s="533">
        <f t="shared" si="20"/>
        <v>55.135363500000025</v>
      </c>
      <c r="I81" s="533">
        <f t="shared" si="20"/>
        <v>62.027283937500044</v>
      </c>
      <c r="J81" s="533">
        <f t="shared" si="20"/>
        <v>69.470558010000047</v>
      </c>
      <c r="K81" s="534"/>
    </row>
    <row r="82" spans="1:11">
      <c r="A82" s="92" t="s">
        <v>705</v>
      </c>
      <c r="B82" s="192" t="s">
        <v>707</v>
      </c>
      <c r="C82" s="192" t="s">
        <v>706</v>
      </c>
      <c r="D82" s="533">
        <f t="shared" ref="D82:J82" si="21">+C170</f>
        <v>608.12000000000012</v>
      </c>
      <c r="E82" s="533">
        <f t="shared" si="21"/>
        <v>702.36249999999995</v>
      </c>
      <c r="F82" s="533">
        <f t="shared" si="21"/>
        <v>804.52274999999997</v>
      </c>
      <c r="G82" s="533">
        <f t="shared" si="21"/>
        <v>915.29841666666675</v>
      </c>
      <c r="H82" s="533">
        <f t="shared" si="21"/>
        <v>1035.01035</v>
      </c>
      <c r="I82" s="533">
        <f t="shared" si="21"/>
        <v>1164.2646</v>
      </c>
      <c r="J82" s="533">
        <f t="shared" si="21"/>
        <v>1303.9727333333333</v>
      </c>
      <c r="K82" s="13"/>
    </row>
    <row r="83" spans="1:11" hidden="1">
      <c r="A83" s="92" t="s">
        <v>877</v>
      </c>
      <c r="B83" s="192" t="s">
        <v>708</v>
      </c>
      <c r="C83" s="192">
        <v>10</v>
      </c>
      <c r="D83" s="533">
        <v>0</v>
      </c>
      <c r="E83" s="533">
        <v>0</v>
      </c>
      <c r="F83" s="533">
        <v>0</v>
      </c>
      <c r="G83" s="533">
        <v>0</v>
      </c>
      <c r="H83" s="533">
        <v>0</v>
      </c>
      <c r="I83" s="533">
        <v>0</v>
      </c>
      <c r="J83" s="533">
        <v>0</v>
      </c>
      <c r="K83" s="13"/>
    </row>
    <row r="84" spans="1:11">
      <c r="A84" s="92" t="s">
        <v>978</v>
      </c>
      <c r="B84" s="192" t="s">
        <v>707</v>
      </c>
      <c r="C84" s="192">
        <f>+D376</f>
        <v>2500</v>
      </c>
      <c r="D84" s="533">
        <f>+F377</f>
        <v>10</v>
      </c>
      <c r="E84" s="533">
        <f t="shared" ref="E84:J84" si="22">+G377</f>
        <v>12.5</v>
      </c>
      <c r="F84" s="533">
        <f t="shared" si="22"/>
        <v>13.750000000000002</v>
      </c>
      <c r="G84" s="533">
        <f t="shared" si="22"/>
        <v>15.000000000000002</v>
      </c>
      <c r="H84" s="533">
        <f t="shared" si="22"/>
        <v>16.250000000000004</v>
      </c>
      <c r="I84" s="533">
        <f t="shared" si="22"/>
        <v>16.250000000000004</v>
      </c>
      <c r="J84" s="533">
        <f t="shared" si="22"/>
        <v>17.5</v>
      </c>
      <c r="K84" s="13"/>
    </row>
    <row r="85" spans="1:11">
      <c r="A85" s="92" t="s">
        <v>872</v>
      </c>
      <c r="B85" s="192" t="s">
        <v>707</v>
      </c>
      <c r="C85" s="192" t="s">
        <v>706</v>
      </c>
      <c r="D85" s="533">
        <f>+C368</f>
        <v>4.5</v>
      </c>
      <c r="E85" s="533">
        <f t="shared" ref="E85:J85" si="23">+D368</f>
        <v>5.8079999999999998</v>
      </c>
      <c r="F85" s="533">
        <f t="shared" si="23"/>
        <v>7.3439999999999994</v>
      </c>
      <c r="G85" s="533">
        <f t="shared" si="23"/>
        <v>9.1259999999999994</v>
      </c>
      <c r="H85" s="533">
        <f t="shared" si="23"/>
        <v>11.172000000000001</v>
      </c>
      <c r="I85" s="533">
        <f t="shared" si="23"/>
        <v>13.5</v>
      </c>
      <c r="J85" s="533">
        <f t="shared" si="23"/>
        <v>16.128</v>
      </c>
      <c r="K85" s="13"/>
    </row>
    <row r="86" spans="1:11">
      <c r="A86" s="92"/>
      <c r="B86" s="80"/>
      <c r="C86" s="80"/>
      <c r="D86" s="533"/>
      <c r="E86" s="533"/>
      <c r="F86" s="533"/>
      <c r="G86" s="533"/>
      <c r="H86" s="533"/>
      <c r="I86" s="533"/>
      <c r="J86" s="533"/>
      <c r="K86" s="13"/>
    </row>
    <row r="87" spans="1:11">
      <c r="A87" s="158" t="s">
        <v>124</v>
      </c>
      <c r="B87" s="82"/>
      <c r="C87" s="82"/>
      <c r="D87" s="535">
        <f t="shared" ref="D87:J87" si="24">SUM(D81:D85)</f>
        <v>655.0200000000001</v>
      </c>
      <c r="E87" s="535">
        <f t="shared" si="24"/>
        <v>758.09249999999997</v>
      </c>
      <c r="F87" s="535">
        <f t="shared" si="24"/>
        <v>868.48194999999998</v>
      </c>
      <c r="G87" s="535">
        <f t="shared" si="24"/>
        <v>988.18358166666678</v>
      </c>
      <c r="H87" s="535">
        <f t="shared" si="24"/>
        <v>1117.5677135000001</v>
      </c>
      <c r="I87" s="535">
        <f t="shared" si="24"/>
        <v>1256.0418839375</v>
      </c>
      <c r="J87" s="535">
        <f t="shared" si="24"/>
        <v>1407.0712913433333</v>
      </c>
      <c r="K87" s="13"/>
    </row>
    <row r="88" spans="1:11">
      <c r="A88" s="92"/>
      <c r="B88" s="80"/>
      <c r="C88" s="80"/>
      <c r="D88" s="533"/>
      <c r="E88" s="533"/>
      <c r="F88" s="533"/>
      <c r="G88" s="533"/>
      <c r="H88" s="533"/>
      <c r="I88" s="533"/>
      <c r="J88" s="533"/>
      <c r="K88" s="13"/>
    </row>
    <row r="89" spans="1:11">
      <c r="A89" s="658" t="s">
        <v>770</v>
      </c>
      <c r="B89" s="80"/>
      <c r="C89" s="80" t="s">
        <v>772</v>
      </c>
      <c r="D89" s="533">
        <f t="shared" ref="D89:J90" si="25">+C226</f>
        <v>0</v>
      </c>
      <c r="E89" s="533">
        <f t="shared" si="25"/>
        <v>26.439999999999998</v>
      </c>
      <c r="F89" s="533">
        <f t="shared" si="25"/>
        <v>58.299499999999995</v>
      </c>
      <c r="G89" s="533">
        <f t="shared" si="25"/>
        <v>96.194774999999993</v>
      </c>
      <c r="H89" s="533">
        <f t="shared" si="25"/>
        <v>140.80890833333333</v>
      </c>
      <c r="I89" s="533">
        <f t="shared" si="25"/>
        <v>192.85560000000001</v>
      </c>
      <c r="J89" s="533">
        <f t="shared" si="25"/>
        <v>253.101</v>
      </c>
      <c r="K89" s="13"/>
    </row>
    <row r="90" spans="1:11">
      <c r="A90" s="658" t="s">
        <v>771</v>
      </c>
      <c r="B90" s="80"/>
      <c r="C90" s="80" t="s">
        <v>772</v>
      </c>
      <c r="D90" s="533">
        <f t="shared" si="25"/>
        <v>26.439999999999998</v>
      </c>
      <c r="E90" s="533">
        <f t="shared" si="25"/>
        <v>58.299499999999995</v>
      </c>
      <c r="F90" s="533">
        <f t="shared" si="25"/>
        <v>96.194774999999993</v>
      </c>
      <c r="G90" s="533">
        <f t="shared" si="25"/>
        <v>140.80890833333333</v>
      </c>
      <c r="H90" s="533">
        <f t="shared" si="25"/>
        <v>192.85560000000001</v>
      </c>
      <c r="I90" s="533">
        <f t="shared" si="25"/>
        <v>253.101</v>
      </c>
      <c r="J90" s="533">
        <f t="shared" si="25"/>
        <v>322.45396666666664</v>
      </c>
      <c r="K90" s="13"/>
    </row>
    <row r="91" spans="1:11">
      <c r="A91" s="92"/>
      <c r="B91" s="80"/>
      <c r="C91" s="80"/>
      <c r="D91" s="533"/>
      <c r="E91" s="533"/>
      <c r="F91" s="533"/>
      <c r="G91" s="533"/>
      <c r="H91" s="533"/>
      <c r="I91" s="533"/>
      <c r="J91" s="533"/>
      <c r="K91" s="13"/>
    </row>
    <row r="92" spans="1:11">
      <c r="A92" s="92"/>
      <c r="B92" s="80"/>
      <c r="C92" s="80"/>
      <c r="D92" s="533"/>
      <c r="E92" s="533"/>
      <c r="F92" s="533"/>
      <c r="G92" s="533"/>
      <c r="H92" s="533"/>
      <c r="I92" s="533"/>
      <c r="J92" s="533"/>
      <c r="K92" s="13"/>
    </row>
    <row r="93" spans="1:11">
      <c r="A93" s="158" t="s">
        <v>137</v>
      </c>
      <c r="B93" s="82"/>
      <c r="C93" s="82"/>
      <c r="D93" s="533"/>
      <c r="E93" s="533"/>
      <c r="F93" s="533"/>
      <c r="G93" s="533"/>
      <c r="H93" s="533"/>
      <c r="I93" s="533"/>
      <c r="J93" s="533"/>
      <c r="K93" s="13"/>
    </row>
    <row r="94" spans="1:11">
      <c r="A94" s="158" t="s">
        <v>302</v>
      </c>
      <c r="B94" s="82"/>
      <c r="C94" s="80"/>
      <c r="D94" s="533"/>
      <c r="E94" s="533"/>
      <c r="F94" s="533"/>
      <c r="G94" s="533"/>
      <c r="H94" s="533"/>
      <c r="I94" s="533"/>
      <c r="J94" s="533"/>
      <c r="K94" s="13"/>
    </row>
    <row r="95" spans="1:11">
      <c r="A95" s="92" t="s">
        <v>768</v>
      </c>
      <c r="B95" s="80" t="s">
        <v>289</v>
      </c>
      <c r="C95" s="80" t="s">
        <v>769</v>
      </c>
      <c r="D95" s="614">
        <f t="shared" ref="D95:J95" si="26">+B283</f>
        <v>566.08000000000004</v>
      </c>
      <c r="E95" s="614">
        <f t="shared" si="26"/>
        <v>643.1</v>
      </c>
      <c r="F95" s="614">
        <f t="shared" si="26"/>
        <v>736.7</v>
      </c>
      <c r="G95" s="614">
        <f t="shared" si="26"/>
        <v>838.03</v>
      </c>
      <c r="H95" s="614">
        <f t="shared" si="26"/>
        <v>947.52</v>
      </c>
      <c r="I95" s="614">
        <f t="shared" si="26"/>
        <v>1065.96</v>
      </c>
      <c r="J95" s="614">
        <f t="shared" si="26"/>
        <v>1193.8599999999999</v>
      </c>
      <c r="K95" s="13"/>
    </row>
    <row r="96" spans="1:11">
      <c r="A96" s="92" t="s">
        <v>308</v>
      </c>
      <c r="B96" s="80" t="s">
        <v>798</v>
      </c>
      <c r="C96" s="80" t="s">
        <v>799</v>
      </c>
      <c r="D96" s="614">
        <f>+B69*300*'Input Sheet'!C198/100000</f>
        <v>6.75</v>
      </c>
      <c r="E96" s="614">
        <f>+C69*300*'Input Sheet'!D198/100000</f>
        <v>8.4149999999999991</v>
      </c>
      <c r="F96" s="614">
        <f>+D69*300*'Input Sheet'!E198/100000</f>
        <v>10.26</v>
      </c>
      <c r="G96" s="614">
        <f>+E69*300*'Input Sheet'!F198/100000</f>
        <v>12.285</v>
      </c>
      <c r="H96" s="614">
        <f>+F69*300*'Input Sheet'!G198/100000</f>
        <v>14.49</v>
      </c>
      <c r="I96" s="614">
        <f>+G69*300*'Input Sheet'!H198/100000</f>
        <v>16.875</v>
      </c>
      <c r="J96" s="614">
        <f>+H69*300*'Input Sheet'!I198/100000</f>
        <v>20.16</v>
      </c>
      <c r="K96" s="13"/>
    </row>
    <row r="97" spans="1:12">
      <c r="A97" s="92" t="s">
        <v>139</v>
      </c>
      <c r="B97" s="80" t="s">
        <v>811</v>
      </c>
      <c r="C97" s="80" t="s">
        <v>941</v>
      </c>
      <c r="D97" s="614">
        <f>+B69*'Input Sheet'!$B$214/100000</f>
        <v>14.4</v>
      </c>
      <c r="E97" s="614">
        <f>+C69*'Input Sheet'!$B$214/100000</f>
        <v>15.84</v>
      </c>
      <c r="F97" s="614">
        <f>+D69*'Input Sheet'!$B$214/100000</f>
        <v>17.28</v>
      </c>
      <c r="G97" s="614">
        <f>+E69*'Input Sheet'!$B$214/100000</f>
        <v>18.72</v>
      </c>
      <c r="H97" s="614">
        <f>+F69*'Input Sheet'!$B$214/100000</f>
        <v>20.16</v>
      </c>
      <c r="I97" s="614">
        <f>+G69*'Input Sheet'!$B$214/100000</f>
        <v>21.6</v>
      </c>
      <c r="J97" s="614">
        <f>+H69*'Input Sheet'!$B$214/100000</f>
        <v>23.04</v>
      </c>
      <c r="K97" s="13"/>
    </row>
    <row r="98" spans="1:12">
      <c r="A98" s="92" t="s">
        <v>803</v>
      </c>
      <c r="B98" s="80" t="s">
        <v>811</v>
      </c>
      <c r="C98" s="80">
        <v>500</v>
      </c>
      <c r="D98" s="614">
        <f t="shared" ref="D98:J98" si="27">+$C$98*B69/100000</f>
        <v>0.75</v>
      </c>
      <c r="E98" s="614">
        <f t="shared" si="27"/>
        <v>0.82499999999999996</v>
      </c>
      <c r="F98" s="614">
        <f t="shared" si="27"/>
        <v>0.9</v>
      </c>
      <c r="G98" s="614">
        <f t="shared" si="27"/>
        <v>0.97499999999999998</v>
      </c>
      <c r="H98" s="614">
        <f t="shared" si="27"/>
        <v>1.05</v>
      </c>
      <c r="I98" s="614">
        <f t="shared" si="27"/>
        <v>1.125</v>
      </c>
      <c r="J98" s="614">
        <f t="shared" si="27"/>
        <v>1.2</v>
      </c>
      <c r="K98" s="373">
        <f>500*'[1]Output Schedule'!J122/100000</f>
        <v>0</v>
      </c>
      <c r="L98" s="368">
        <f>500*'[1]Output Schedule'!K122/100000</f>
        <v>0</v>
      </c>
    </row>
    <row r="99" spans="1:12" ht="30">
      <c r="A99" s="92" t="s">
        <v>804</v>
      </c>
      <c r="B99" s="80" t="s">
        <v>809</v>
      </c>
      <c r="C99" s="80">
        <v>800</v>
      </c>
      <c r="D99" s="614">
        <f>+$C$99*'Input Sheet'!C198/100000</f>
        <v>0.12</v>
      </c>
      <c r="E99" s="614">
        <f>+$C$99*'Input Sheet'!D198/100000</f>
        <v>0.13600000000000001</v>
      </c>
      <c r="F99" s="614">
        <f>+$C$99*'Input Sheet'!E198/100000</f>
        <v>0.152</v>
      </c>
      <c r="G99" s="614">
        <f>+$C$99*'Input Sheet'!F198/100000</f>
        <v>0.16800000000000001</v>
      </c>
      <c r="H99" s="614">
        <f>+$C$99*'Input Sheet'!G198/100000</f>
        <v>0.184</v>
      </c>
      <c r="I99" s="614">
        <f>+$C$99*'Input Sheet'!H198/100000</f>
        <v>0.2</v>
      </c>
      <c r="J99" s="614">
        <f>+$C$99*'Input Sheet'!I198/100000</f>
        <v>0.224</v>
      </c>
      <c r="K99" s="373">
        <f>800*'[1]Manpower Schedule'!J82/100000</f>
        <v>0</v>
      </c>
      <c r="L99" s="368">
        <f>800*'[1]Manpower Schedule'!K82/100000</f>
        <v>0</v>
      </c>
    </row>
    <row r="100" spans="1:12">
      <c r="A100" s="92" t="s">
        <v>805</v>
      </c>
      <c r="B100" s="80" t="s">
        <v>810</v>
      </c>
      <c r="C100" s="80">
        <v>500</v>
      </c>
      <c r="D100" s="614">
        <f t="shared" ref="D100:J100" si="28">+$C$100*B37/100000</f>
        <v>12</v>
      </c>
      <c r="E100" s="614">
        <f t="shared" si="28"/>
        <v>13.2</v>
      </c>
      <c r="F100" s="614">
        <f t="shared" si="28"/>
        <v>14.4</v>
      </c>
      <c r="G100" s="614">
        <f t="shared" si="28"/>
        <v>15.6</v>
      </c>
      <c r="H100" s="614">
        <f t="shared" si="28"/>
        <v>16.8</v>
      </c>
      <c r="I100" s="614">
        <f t="shared" si="28"/>
        <v>18</v>
      </c>
      <c r="J100" s="614">
        <f t="shared" si="28"/>
        <v>19.2</v>
      </c>
      <c r="K100" s="373">
        <f>500*'[1]Output Schedule'!J76/100000</f>
        <v>0</v>
      </c>
      <c r="L100" s="368">
        <f>500*'[1]Output Schedule'!K76/100000</f>
        <v>0</v>
      </c>
    </row>
    <row r="101" spans="1:12">
      <c r="A101" s="92" t="s">
        <v>806</v>
      </c>
      <c r="B101" s="80" t="s">
        <v>811</v>
      </c>
      <c r="C101" s="80">
        <v>300</v>
      </c>
      <c r="D101" s="614">
        <f t="shared" ref="D101:J101" si="29">+$C$101*B69/100000</f>
        <v>0.45</v>
      </c>
      <c r="E101" s="614">
        <f t="shared" si="29"/>
        <v>0.495</v>
      </c>
      <c r="F101" s="614">
        <f t="shared" si="29"/>
        <v>0.54</v>
      </c>
      <c r="G101" s="614">
        <f t="shared" si="29"/>
        <v>0.58499999999999996</v>
      </c>
      <c r="H101" s="614">
        <f t="shared" si="29"/>
        <v>0.63</v>
      </c>
      <c r="I101" s="614">
        <f t="shared" si="29"/>
        <v>0.67500000000000004</v>
      </c>
      <c r="J101" s="614">
        <f t="shared" si="29"/>
        <v>0.72</v>
      </c>
      <c r="K101" s="373">
        <f>300*'[1]Output Schedule'!J122/100000</f>
        <v>0</v>
      </c>
      <c r="L101" s="368">
        <f>300*'[1]Output Schedule'!K122/100000</f>
        <v>0</v>
      </c>
    </row>
    <row r="102" spans="1:12">
      <c r="A102" s="92" t="s">
        <v>807</v>
      </c>
      <c r="B102" s="80" t="s">
        <v>810</v>
      </c>
      <c r="C102" s="80">
        <v>159</v>
      </c>
      <c r="D102" s="614">
        <f t="shared" ref="D102:J102" si="30">+$C$102*C139/100000</f>
        <v>1.8285</v>
      </c>
      <c r="E102" s="614">
        <f t="shared" si="30"/>
        <v>2.0113500000000002</v>
      </c>
      <c r="F102" s="614">
        <f t="shared" si="30"/>
        <v>2.1941999999999999</v>
      </c>
      <c r="G102" s="614">
        <f t="shared" si="30"/>
        <v>2.3770500000000001</v>
      </c>
      <c r="H102" s="614">
        <f t="shared" si="30"/>
        <v>2.5598999999999998</v>
      </c>
      <c r="I102" s="614">
        <f t="shared" si="30"/>
        <v>2.74275</v>
      </c>
      <c r="J102" s="614">
        <f t="shared" si="30"/>
        <v>2.9256000000000002</v>
      </c>
      <c r="K102" s="373">
        <f>500*('[1]Sales Schedule'!K63+'[1]Sales Schedule'!K67+'[1]Sales Schedule'!K71)/100000</f>
        <v>0</v>
      </c>
      <c r="L102" s="368">
        <f>500*('[1]Sales Schedule'!L63+'[1]Sales Schedule'!L67+'[1]Sales Schedule'!L71)/100000</f>
        <v>0</v>
      </c>
    </row>
    <row r="103" spans="1:12">
      <c r="A103" s="92" t="s">
        <v>808</v>
      </c>
      <c r="B103" s="80" t="s">
        <v>811</v>
      </c>
      <c r="C103" s="80">
        <v>500</v>
      </c>
      <c r="D103" s="614">
        <f t="shared" ref="D103:J103" si="31">+$C$103*B69/100000</f>
        <v>0.75</v>
      </c>
      <c r="E103" s="614">
        <f t="shared" si="31"/>
        <v>0.82499999999999996</v>
      </c>
      <c r="F103" s="614">
        <f t="shared" si="31"/>
        <v>0.9</v>
      </c>
      <c r="G103" s="614">
        <f t="shared" si="31"/>
        <v>0.97499999999999998</v>
      </c>
      <c r="H103" s="614">
        <f t="shared" si="31"/>
        <v>1.05</v>
      </c>
      <c r="I103" s="614">
        <f t="shared" si="31"/>
        <v>1.125</v>
      </c>
      <c r="J103" s="614">
        <f t="shared" si="31"/>
        <v>1.2</v>
      </c>
      <c r="K103" s="373">
        <f>500*'[1]Output Schedule'!J122/100000</f>
        <v>0</v>
      </c>
      <c r="L103" s="368">
        <f>500*'[1]Output Schedule'!K122/100000</f>
        <v>0</v>
      </c>
    </row>
    <row r="104" spans="1:12">
      <c r="A104" s="92"/>
      <c r="B104" s="80"/>
      <c r="C104" s="80"/>
      <c r="D104" s="614"/>
      <c r="E104" s="614"/>
      <c r="F104" s="614"/>
      <c r="G104" s="614"/>
      <c r="H104" s="614"/>
      <c r="I104" s="614"/>
      <c r="J104" s="614"/>
      <c r="K104" s="13"/>
    </row>
    <row r="105" spans="1:12">
      <c r="A105" s="92"/>
      <c r="B105" s="80"/>
      <c r="C105" s="80"/>
      <c r="D105" s="614"/>
      <c r="E105" s="614"/>
      <c r="F105" s="614"/>
      <c r="G105" s="614"/>
      <c r="H105" s="614"/>
      <c r="I105" s="614"/>
      <c r="J105" s="614"/>
      <c r="K105" s="13"/>
    </row>
    <row r="106" spans="1:12">
      <c r="A106" s="92" t="s">
        <v>753</v>
      </c>
      <c r="B106" s="80"/>
      <c r="C106" s="80"/>
      <c r="D106" s="614">
        <f t="shared" ref="D106:J107" si="32">+B351</f>
        <v>0</v>
      </c>
      <c r="E106" s="614">
        <f t="shared" si="32"/>
        <v>9.2799999999999994</v>
      </c>
      <c r="F106" s="614">
        <f t="shared" si="32"/>
        <v>9.7439999999999998</v>
      </c>
      <c r="G106" s="614">
        <f t="shared" si="32"/>
        <v>10.231999999999999</v>
      </c>
      <c r="H106" s="614">
        <f t="shared" si="32"/>
        <v>10.744</v>
      </c>
      <c r="I106" s="614">
        <f t="shared" si="32"/>
        <v>11.28</v>
      </c>
      <c r="J106" s="614">
        <f t="shared" si="32"/>
        <v>11.843999999999999</v>
      </c>
      <c r="K106" s="13"/>
    </row>
    <row r="107" spans="1:12">
      <c r="A107" s="92" t="s">
        <v>754</v>
      </c>
      <c r="B107" s="80"/>
      <c r="C107" s="80"/>
      <c r="D107" s="614">
        <f t="shared" si="32"/>
        <v>9.2799999999999994</v>
      </c>
      <c r="E107" s="614">
        <f t="shared" si="32"/>
        <v>9.7439999999999998</v>
      </c>
      <c r="F107" s="614">
        <f t="shared" si="32"/>
        <v>10.231999999999999</v>
      </c>
      <c r="G107" s="614">
        <f t="shared" si="32"/>
        <v>10.744</v>
      </c>
      <c r="H107" s="614">
        <f t="shared" si="32"/>
        <v>11.28</v>
      </c>
      <c r="I107" s="614">
        <f t="shared" si="32"/>
        <v>11.843999999999999</v>
      </c>
      <c r="J107" s="614">
        <f t="shared" si="32"/>
        <v>12.436</v>
      </c>
      <c r="K107" s="13"/>
    </row>
    <row r="108" spans="1:12">
      <c r="A108" s="659"/>
      <c r="B108" s="81"/>
      <c r="C108" s="81"/>
      <c r="D108" s="533"/>
      <c r="E108" s="533"/>
      <c r="F108" s="533"/>
      <c r="G108" s="533"/>
      <c r="H108" s="533"/>
      <c r="I108" s="533"/>
      <c r="J108" s="533"/>
      <c r="K108" s="13"/>
    </row>
    <row r="109" spans="1:12">
      <c r="A109" s="171" t="s">
        <v>309</v>
      </c>
      <c r="B109" s="81"/>
      <c r="C109" s="81"/>
      <c r="D109" s="535">
        <f t="shared" ref="D109:J109" si="33">SUM(D95:D106)-D107</f>
        <v>593.84850000000006</v>
      </c>
      <c r="E109" s="535">
        <f t="shared" si="33"/>
        <v>684.38335000000006</v>
      </c>
      <c r="F109" s="535">
        <f t="shared" si="33"/>
        <v>782.83820000000003</v>
      </c>
      <c r="G109" s="535">
        <f t="shared" si="33"/>
        <v>889.20305000000008</v>
      </c>
      <c r="H109" s="535">
        <f t="shared" si="33"/>
        <v>1003.9078999999998</v>
      </c>
      <c r="I109" s="535">
        <f t="shared" si="33"/>
        <v>1127.7387499999998</v>
      </c>
      <c r="J109" s="535">
        <f t="shared" si="33"/>
        <v>1261.9376000000002</v>
      </c>
      <c r="K109" s="13"/>
    </row>
    <row r="110" spans="1:12">
      <c r="A110" s="649"/>
      <c r="B110" s="79"/>
      <c r="C110" s="79"/>
      <c r="D110" s="536"/>
      <c r="E110" s="536"/>
      <c r="F110" s="536"/>
      <c r="G110" s="536"/>
      <c r="H110" s="536"/>
      <c r="I110" s="536"/>
      <c r="J110" s="536"/>
      <c r="K110" s="13"/>
    </row>
    <row r="111" spans="1:12">
      <c r="A111" s="158" t="s">
        <v>300</v>
      </c>
      <c r="B111" s="158"/>
      <c r="C111" s="158"/>
      <c r="D111" s="535"/>
      <c r="E111" s="535"/>
      <c r="F111" s="535"/>
      <c r="G111" s="535"/>
      <c r="H111" s="535"/>
      <c r="I111" s="535"/>
      <c r="J111" s="535"/>
      <c r="K111" s="13"/>
    </row>
    <row r="112" spans="1:12">
      <c r="A112" s="158"/>
      <c r="B112" s="158"/>
      <c r="C112" s="158"/>
      <c r="D112" s="535"/>
      <c r="E112" s="535"/>
      <c r="F112" s="535"/>
      <c r="G112" s="535"/>
      <c r="H112" s="535"/>
      <c r="I112" s="535"/>
      <c r="J112" s="535"/>
      <c r="K112" s="13"/>
    </row>
    <row r="113" spans="1:14">
      <c r="A113" s="366" t="s">
        <v>733</v>
      </c>
      <c r="B113" s="369"/>
      <c r="C113" s="367"/>
      <c r="D113" s="537"/>
      <c r="E113" s="537"/>
      <c r="F113" s="537"/>
      <c r="G113" s="537"/>
      <c r="H113" s="537"/>
      <c r="I113" s="537"/>
      <c r="J113" s="538"/>
      <c r="K113" s="374"/>
      <c r="L113" s="370"/>
      <c r="M113" s="251"/>
      <c r="N113" s="251"/>
    </row>
    <row r="114" spans="1:14" ht="27.75" customHeight="1">
      <c r="A114" s="92" t="s">
        <v>734</v>
      </c>
      <c r="B114" s="80" t="s">
        <v>735</v>
      </c>
      <c r="C114" s="80">
        <v>0.01</v>
      </c>
      <c r="D114" s="614">
        <f>+('2.Capex Details'!$G$67+'2.Capex Details'!$G$12)*'13.Facility 2 Grain Processing-'!$C$114</f>
        <v>3.1941000000000002</v>
      </c>
      <c r="E114" s="614">
        <f>+D114*E76</f>
        <v>3.3538050000000004</v>
      </c>
      <c r="F114" s="614">
        <f>+$D$114*F76</f>
        <v>3.5214952500000001</v>
      </c>
      <c r="G114" s="614">
        <f>+$D$114*G76</f>
        <v>3.6975700125000004</v>
      </c>
      <c r="H114" s="614">
        <f>+$D$114*H76</f>
        <v>3.8824485131250008</v>
      </c>
      <c r="I114" s="614">
        <f>+$D$114*I76</f>
        <v>4.0765709387812512</v>
      </c>
      <c r="J114" s="614">
        <f>+$D$114*J76</f>
        <v>4.2803994857203138</v>
      </c>
      <c r="K114" s="371"/>
      <c r="L114" s="371"/>
      <c r="M114" s="251"/>
      <c r="N114" s="251"/>
    </row>
    <row r="115" spans="1:14" ht="21.75" customHeight="1">
      <c r="A115" s="92" t="s">
        <v>736</v>
      </c>
      <c r="B115" s="80" t="s">
        <v>737</v>
      </c>
      <c r="C115" s="80">
        <v>5.0000000000000001E-3</v>
      </c>
      <c r="D115" s="614">
        <f>+('2.Capex Details'!$G$67+'2.Capex Details'!$G$12)*C115</f>
        <v>1.5970500000000001</v>
      </c>
      <c r="E115" s="614">
        <f t="shared" ref="E115:J115" si="34">+$D$115*E76</f>
        <v>1.6769025000000002</v>
      </c>
      <c r="F115" s="614">
        <f t="shared" si="34"/>
        <v>1.760747625</v>
      </c>
      <c r="G115" s="614">
        <f t="shared" si="34"/>
        <v>1.8487850062500002</v>
      </c>
      <c r="H115" s="614">
        <f t="shared" si="34"/>
        <v>1.9412242565625004</v>
      </c>
      <c r="I115" s="614">
        <f t="shared" si="34"/>
        <v>2.0382854693906256</v>
      </c>
      <c r="J115" s="614">
        <f t="shared" si="34"/>
        <v>2.1401997428601569</v>
      </c>
      <c r="K115" s="371"/>
      <c r="L115" s="371"/>
      <c r="M115" s="251"/>
      <c r="N115" s="251"/>
    </row>
    <row r="116" spans="1:14" ht="29.25" customHeight="1">
      <c r="A116" s="92" t="s">
        <v>738</v>
      </c>
      <c r="B116" s="80" t="s">
        <v>739</v>
      </c>
      <c r="C116" s="80" t="s">
        <v>812</v>
      </c>
      <c r="D116" s="614">
        <f>+'Input Sheet'!H186+'Input Sheet'!H188+'Input Sheet'!H191+'Input Sheet'!H192</f>
        <v>5.5200000000000005</v>
      </c>
      <c r="E116" s="614">
        <f t="shared" ref="E116:J116" si="35">+$D$116*E76</f>
        <v>5.7960000000000012</v>
      </c>
      <c r="F116" s="614">
        <f t="shared" si="35"/>
        <v>6.0858000000000008</v>
      </c>
      <c r="G116" s="614">
        <f t="shared" si="35"/>
        <v>6.3900900000000016</v>
      </c>
      <c r="H116" s="614">
        <f t="shared" si="35"/>
        <v>6.7095945000000015</v>
      </c>
      <c r="I116" s="614">
        <f t="shared" si="35"/>
        <v>7.0450742250000022</v>
      </c>
      <c r="J116" s="614">
        <f t="shared" si="35"/>
        <v>7.3973279362500026</v>
      </c>
      <c r="K116" s="371"/>
      <c r="L116" s="371"/>
      <c r="M116" s="251"/>
      <c r="N116" s="251"/>
    </row>
    <row r="117" spans="1:14" ht="23.25" customHeight="1">
      <c r="A117" s="92" t="s">
        <v>740</v>
      </c>
      <c r="B117" s="80" t="s">
        <v>719</v>
      </c>
      <c r="C117" s="80"/>
      <c r="D117" s="614">
        <f>+'Input Sheet'!E206/100000</f>
        <v>3.48</v>
      </c>
      <c r="E117" s="614">
        <f t="shared" ref="E117:J117" si="36">+$D$117*E76</f>
        <v>3.6539999999999999</v>
      </c>
      <c r="F117" s="614">
        <f t="shared" si="36"/>
        <v>3.8367</v>
      </c>
      <c r="G117" s="614">
        <f t="shared" si="36"/>
        <v>4.0285350000000006</v>
      </c>
      <c r="H117" s="614">
        <f t="shared" si="36"/>
        <v>4.2299617500000011</v>
      </c>
      <c r="I117" s="614">
        <f t="shared" si="36"/>
        <v>4.441459837500001</v>
      </c>
      <c r="J117" s="614">
        <f t="shared" si="36"/>
        <v>4.6635328293750016</v>
      </c>
      <c r="K117" s="371"/>
      <c r="L117" s="371"/>
      <c r="M117" s="251">
        <v>30</v>
      </c>
      <c r="N117" s="251"/>
    </row>
    <row r="118" spans="1:14" ht="23.25" customHeight="1">
      <c r="A118" s="158" t="s">
        <v>942</v>
      </c>
      <c r="B118" s="80"/>
      <c r="C118" s="80"/>
      <c r="D118" s="614"/>
      <c r="E118" s="614"/>
      <c r="F118" s="614"/>
      <c r="G118" s="614"/>
      <c r="H118" s="614"/>
      <c r="I118" s="614"/>
      <c r="J118" s="614"/>
      <c r="K118" s="371"/>
      <c r="L118" s="371"/>
      <c r="M118" s="251"/>
      <c r="N118" s="251"/>
    </row>
    <row r="119" spans="1:14" ht="23.25" customHeight="1">
      <c r="A119" s="92" t="s">
        <v>943</v>
      </c>
      <c r="B119" s="80" t="s">
        <v>951</v>
      </c>
      <c r="C119" s="80">
        <v>1.4</v>
      </c>
      <c r="D119" s="614">
        <f>+'Input Sheet'!$C$22*'13.Facility 2 Grain Processing-'!C119/100000*12</f>
        <v>0.16800000000000001</v>
      </c>
      <c r="E119" s="362">
        <f>+D119*E76</f>
        <v>0.17640000000000003</v>
      </c>
      <c r="F119" s="362">
        <f t="shared" ref="F119:J119" si="37">+E119*F76</f>
        <v>0.19448100000000004</v>
      </c>
      <c r="G119" s="362">
        <f t="shared" si="37"/>
        <v>0.22513606762500007</v>
      </c>
      <c r="H119" s="362">
        <f t="shared" si="37"/>
        <v>0.27365429729861029</v>
      </c>
      <c r="I119" s="362">
        <f t="shared" si="37"/>
        <v>0.34925993414110995</v>
      </c>
      <c r="J119" s="362">
        <f t="shared" si="37"/>
        <v>0.46804171518747617</v>
      </c>
      <c r="K119" s="371"/>
      <c r="L119" s="371"/>
      <c r="M119" s="251"/>
      <c r="N119" s="251"/>
    </row>
    <row r="120" spans="1:14" ht="23.25" customHeight="1">
      <c r="A120" s="92" t="s">
        <v>944</v>
      </c>
      <c r="B120" s="80" t="s">
        <v>952</v>
      </c>
      <c r="C120" s="80">
        <v>5000</v>
      </c>
      <c r="D120" s="614">
        <f>+C120*2/100000</f>
        <v>0.1</v>
      </c>
      <c r="E120" s="362">
        <f>+D120*E76</f>
        <v>0.10500000000000001</v>
      </c>
      <c r="F120" s="362">
        <f t="shared" ref="F120:J120" si="38">+E120*F76</f>
        <v>0.11576250000000002</v>
      </c>
      <c r="G120" s="362">
        <f t="shared" si="38"/>
        <v>0.13400956406250003</v>
      </c>
      <c r="H120" s="362">
        <f t="shared" si="38"/>
        <v>0.16288946267774421</v>
      </c>
      <c r="I120" s="362">
        <f t="shared" si="38"/>
        <v>0.20789281794113687</v>
      </c>
      <c r="J120" s="362">
        <f t="shared" si="38"/>
        <v>0.27859625904016438</v>
      </c>
      <c r="K120" s="371"/>
      <c r="L120" s="371"/>
      <c r="M120" s="251"/>
      <c r="N120" s="251"/>
    </row>
    <row r="121" spans="1:14" ht="23.25" customHeight="1">
      <c r="A121" s="92" t="s">
        <v>945</v>
      </c>
      <c r="B121" s="80" t="s">
        <v>952</v>
      </c>
      <c r="C121" s="80">
        <v>5000</v>
      </c>
      <c r="D121" s="614">
        <f>+C121*2/100000</f>
        <v>0.1</v>
      </c>
      <c r="E121" s="362">
        <f>+D121*E76</f>
        <v>0.10500000000000001</v>
      </c>
      <c r="F121" s="362">
        <f t="shared" ref="F121:J121" si="39">+E121*F76</f>
        <v>0.11576250000000002</v>
      </c>
      <c r="G121" s="362">
        <f t="shared" si="39"/>
        <v>0.13400956406250003</v>
      </c>
      <c r="H121" s="362">
        <f t="shared" si="39"/>
        <v>0.16288946267774421</v>
      </c>
      <c r="I121" s="362">
        <f t="shared" si="39"/>
        <v>0.20789281794113687</v>
      </c>
      <c r="J121" s="362">
        <f t="shared" si="39"/>
        <v>0.27859625904016438</v>
      </c>
      <c r="K121" s="371"/>
      <c r="L121" s="371"/>
      <c r="M121" s="251"/>
      <c r="N121" s="251"/>
    </row>
    <row r="122" spans="1:14" ht="23.25" customHeight="1">
      <c r="A122" s="92" t="s">
        <v>946</v>
      </c>
      <c r="B122" s="80" t="s">
        <v>953</v>
      </c>
      <c r="C122" s="80">
        <f>800*12</f>
        <v>9600</v>
      </c>
      <c r="D122" s="614">
        <f>+C122/100000</f>
        <v>9.6000000000000002E-2</v>
      </c>
      <c r="E122" s="362">
        <f>+D122*E76</f>
        <v>0.1008</v>
      </c>
      <c r="F122" s="362">
        <f t="shared" ref="F122:J122" si="40">+E122*F76</f>
        <v>0.11113200000000001</v>
      </c>
      <c r="G122" s="362">
        <f t="shared" si="40"/>
        <v>0.12864918150000001</v>
      </c>
      <c r="H122" s="362">
        <f t="shared" si="40"/>
        <v>0.15637388417063441</v>
      </c>
      <c r="I122" s="362">
        <f t="shared" si="40"/>
        <v>0.19957710522349137</v>
      </c>
      <c r="J122" s="362">
        <f t="shared" si="40"/>
        <v>0.2674524086785578</v>
      </c>
      <c r="K122" s="371"/>
      <c r="L122" s="371"/>
      <c r="M122" s="251"/>
      <c r="N122" s="251"/>
    </row>
    <row r="123" spans="1:14" ht="23.25" customHeight="1">
      <c r="A123" s="92" t="s">
        <v>293</v>
      </c>
      <c r="B123" s="80" t="s">
        <v>954</v>
      </c>
      <c r="C123" s="80">
        <v>4.5</v>
      </c>
      <c r="D123" s="614">
        <f>+C123*('Input Sheet'!C22/10)*12/100000</f>
        <v>5.3999999999999999E-2</v>
      </c>
      <c r="E123" s="362">
        <f>+D123*E76</f>
        <v>5.67E-2</v>
      </c>
      <c r="F123" s="362">
        <f t="shared" ref="F123:J123" si="41">+E123*F76</f>
        <v>6.2511750000000005E-2</v>
      </c>
      <c r="G123" s="362">
        <f t="shared" si="41"/>
        <v>7.2365164593750017E-2</v>
      </c>
      <c r="H123" s="362">
        <f t="shared" si="41"/>
        <v>8.7960309845981868E-2</v>
      </c>
      <c r="I123" s="362">
        <f t="shared" si="41"/>
        <v>0.11226212168821391</v>
      </c>
      <c r="J123" s="362">
        <f t="shared" si="41"/>
        <v>0.15044197988168878</v>
      </c>
      <c r="K123" s="371"/>
      <c r="L123" s="371"/>
      <c r="M123" s="251"/>
      <c r="N123" s="251"/>
    </row>
    <row r="124" spans="1:14" ht="23.25" customHeight="1">
      <c r="A124" s="92" t="s">
        <v>736</v>
      </c>
      <c r="B124" s="80" t="s">
        <v>954</v>
      </c>
      <c r="C124" s="80">
        <v>2.5</v>
      </c>
      <c r="D124" s="614">
        <f>+C124*('Input Sheet'!C22/10)*12/100000</f>
        <v>0.03</v>
      </c>
      <c r="E124" s="362">
        <f>+D124*E76</f>
        <v>3.15E-2</v>
      </c>
      <c r="F124" s="362">
        <f t="shared" ref="F124:J124" si="42">+E124*F76</f>
        <v>3.4728750000000003E-2</v>
      </c>
      <c r="G124" s="362">
        <f t="shared" si="42"/>
        <v>4.0202869218750006E-2</v>
      </c>
      <c r="H124" s="362">
        <f t="shared" si="42"/>
        <v>4.8866838803323258E-2</v>
      </c>
      <c r="I124" s="362">
        <f t="shared" si="42"/>
        <v>6.2367845382341053E-2</v>
      </c>
      <c r="J124" s="362">
        <f t="shared" si="42"/>
        <v>8.3578877712049304E-2</v>
      </c>
      <c r="K124" s="371"/>
      <c r="L124" s="371"/>
      <c r="M124" s="251"/>
      <c r="N124" s="251"/>
    </row>
    <row r="125" spans="1:14" ht="23.25" customHeight="1">
      <c r="A125" s="92"/>
      <c r="B125" s="80"/>
      <c r="C125" s="80"/>
      <c r="D125" s="614"/>
      <c r="E125" s="614"/>
      <c r="F125" s="614"/>
      <c r="G125" s="614"/>
      <c r="H125" s="614"/>
      <c r="I125" s="614"/>
      <c r="J125" s="614"/>
      <c r="K125" s="371"/>
      <c r="L125" s="371"/>
      <c r="M125" s="251"/>
      <c r="N125" s="251"/>
    </row>
    <row r="126" spans="1:14">
      <c r="A126" s="158" t="s">
        <v>813</v>
      </c>
      <c r="B126" s="82"/>
      <c r="C126" s="82"/>
      <c r="D126" s="399">
        <f t="shared" ref="D126:J126" si="43">SUM(D114:D124)</f>
        <v>14.33915</v>
      </c>
      <c r="E126" s="399">
        <f t="shared" si="43"/>
        <v>15.0561075</v>
      </c>
      <c r="F126" s="399">
        <f t="shared" si="43"/>
        <v>15.839121375000001</v>
      </c>
      <c r="G126" s="399">
        <f t="shared" si="43"/>
        <v>16.699352429812503</v>
      </c>
      <c r="H126" s="399">
        <f t="shared" si="43"/>
        <v>17.65586327516154</v>
      </c>
      <c r="I126" s="399">
        <f t="shared" si="43"/>
        <v>18.740643112989307</v>
      </c>
      <c r="J126" s="399">
        <f t="shared" si="43"/>
        <v>20.008167493745574</v>
      </c>
      <c r="M126">
        <v>35</v>
      </c>
    </row>
    <row r="127" spans="1:14">
      <c r="A127" s="158" t="s">
        <v>288</v>
      </c>
      <c r="B127" s="158"/>
      <c r="C127" s="158"/>
      <c r="D127" s="399">
        <f t="shared" ref="D127:J127" si="44">D109+D126</f>
        <v>608.18765000000008</v>
      </c>
      <c r="E127" s="399">
        <f t="shared" si="44"/>
        <v>699.43945750000012</v>
      </c>
      <c r="F127" s="399">
        <f t="shared" si="44"/>
        <v>798.67732137500002</v>
      </c>
      <c r="G127" s="399">
        <f t="shared" si="44"/>
        <v>905.90240242981258</v>
      </c>
      <c r="H127" s="399">
        <f t="shared" si="44"/>
        <v>1021.5637632751614</v>
      </c>
      <c r="I127" s="399">
        <f t="shared" si="44"/>
        <v>1146.4793931129891</v>
      </c>
      <c r="J127" s="399">
        <f t="shared" si="44"/>
        <v>1281.9457674937457</v>
      </c>
      <c r="M127">
        <f>+M126*0.8</f>
        <v>28</v>
      </c>
    </row>
    <row r="128" spans="1:14">
      <c r="A128" s="92"/>
      <c r="B128" s="80"/>
      <c r="C128" s="80"/>
      <c r="D128" s="362"/>
      <c r="E128" s="362"/>
      <c r="F128" s="362"/>
      <c r="G128" s="362"/>
      <c r="H128" s="362"/>
      <c r="I128" s="362"/>
      <c r="J128" s="362"/>
    </row>
    <row r="129" spans="1:10">
      <c r="A129" s="158" t="s">
        <v>7</v>
      </c>
      <c r="B129" s="82"/>
      <c r="C129" s="82"/>
      <c r="D129" s="399">
        <f t="shared" ref="D129:J129" si="45">D87-D127+D90-D89</f>
        <v>73.272350000000017</v>
      </c>
      <c r="E129" s="399">
        <f t="shared" si="45"/>
        <v>90.512542499999853</v>
      </c>
      <c r="F129" s="399">
        <f t="shared" si="45"/>
        <v>107.69990362499996</v>
      </c>
      <c r="G129" s="399">
        <f t="shared" si="45"/>
        <v>126.89531257018754</v>
      </c>
      <c r="H129" s="399">
        <f t="shared" si="45"/>
        <v>148.05064189150536</v>
      </c>
      <c r="I129" s="399">
        <f t="shared" si="45"/>
        <v>169.80789082451085</v>
      </c>
      <c r="J129" s="399">
        <f t="shared" si="45"/>
        <v>194.47849051625423</v>
      </c>
    </row>
    <row r="130" spans="1:10">
      <c r="A130" s="660"/>
      <c r="B130" s="99"/>
      <c r="C130" s="99"/>
      <c r="D130" s="94"/>
      <c r="E130" s="94"/>
      <c r="F130" s="94"/>
      <c r="G130" s="94"/>
      <c r="H130" s="94"/>
      <c r="I130" s="94"/>
      <c r="J130" s="94"/>
    </row>
    <row r="131" spans="1:10">
      <c r="A131" s="660"/>
      <c r="B131" s="99"/>
      <c r="C131" s="99"/>
      <c r="D131" s="94"/>
      <c r="E131" s="94"/>
      <c r="F131" s="94"/>
      <c r="G131" s="94"/>
      <c r="H131" s="94"/>
      <c r="I131" s="94"/>
      <c r="J131" s="94"/>
    </row>
    <row r="132" spans="1:10">
      <c r="A132" s="660"/>
      <c r="B132" s="99"/>
      <c r="C132" s="99"/>
      <c r="D132" s="94"/>
      <c r="E132" s="94"/>
      <c r="F132" s="94"/>
      <c r="G132" s="94"/>
      <c r="H132" s="94"/>
      <c r="I132" s="94"/>
      <c r="J132" s="94"/>
    </row>
    <row r="133" spans="1:10" ht="20.25">
      <c r="A133" s="776" t="s">
        <v>814</v>
      </c>
      <c r="B133" s="776"/>
      <c r="C133" s="776"/>
      <c r="D133" s="776"/>
      <c r="E133" s="776"/>
      <c r="F133" s="776"/>
      <c r="G133" s="776"/>
      <c r="H133" s="776"/>
      <c r="I133" s="776"/>
      <c r="J133" s="94"/>
    </row>
    <row r="134" spans="1:10">
      <c r="A134" s="660"/>
      <c r="B134" s="99"/>
      <c r="C134" s="99"/>
      <c r="D134" s="94"/>
      <c r="E134" s="94"/>
      <c r="F134" s="94"/>
      <c r="G134" s="94"/>
      <c r="H134" s="94"/>
      <c r="I134" s="94"/>
      <c r="J134" s="94"/>
    </row>
    <row r="135" spans="1:10" ht="20.25">
      <c r="A135" s="661" t="s">
        <v>692</v>
      </c>
      <c r="B135" s="595"/>
      <c r="C135" s="595"/>
      <c r="D135" s="595"/>
      <c r="E135" s="595"/>
      <c r="F135" s="595"/>
      <c r="G135" s="595"/>
      <c r="H135" s="595"/>
      <c r="I135" s="595"/>
      <c r="J135" s="94"/>
    </row>
    <row r="136" spans="1:10">
      <c r="A136" s="49" t="s">
        <v>679</v>
      </c>
      <c r="B136" s="122" t="s">
        <v>0</v>
      </c>
      <c r="C136" s="122" t="s">
        <v>2</v>
      </c>
      <c r="D136" s="122" t="s">
        <v>3</v>
      </c>
      <c r="E136" s="122" t="s">
        <v>4</v>
      </c>
      <c r="F136" s="122" t="s">
        <v>5</v>
      </c>
      <c r="G136" s="122" t="s">
        <v>6</v>
      </c>
      <c r="H136" s="122" t="s">
        <v>164</v>
      </c>
      <c r="I136" s="122" t="s">
        <v>163</v>
      </c>
      <c r="J136" s="365">
        <v>4</v>
      </c>
    </row>
    <row r="137" spans="1:10">
      <c r="A137" s="662"/>
      <c r="B137" s="338"/>
      <c r="C137" s="339"/>
      <c r="D137" s="426"/>
      <c r="E137" s="426"/>
      <c r="F137" s="426"/>
      <c r="G137" s="426"/>
      <c r="H137" s="426"/>
      <c r="I137" s="426"/>
    </row>
    <row r="138" spans="1:10">
      <c r="A138" s="662"/>
      <c r="B138" s="340" t="str">
        <f>+'Input Sheet'!B96</f>
        <v>Paddy</v>
      </c>
      <c r="C138" s="339"/>
      <c r="D138" s="426"/>
      <c r="E138" s="426"/>
      <c r="F138" s="426"/>
      <c r="G138" s="426"/>
      <c r="H138" s="426"/>
      <c r="I138" s="426"/>
    </row>
    <row r="139" spans="1:10">
      <c r="A139" s="663" t="s">
        <v>168</v>
      </c>
      <c r="B139" s="612" t="str">
        <f>+A40</f>
        <v xml:space="preserve">Rice </v>
      </c>
      <c r="C139" s="389">
        <f>+C178</f>
        <v>1150</v>
      </c>
      <c r="D139" s="389">
        <f t="shared" ref="D139:I139" si="46">+D178</f>
        <v>1265</v>
      </c>
      <c r="E139" s="389">
        <f t="shared" si="46"/>
        <v>1380</v>
      </c>
      <c r="F139" s="389">
        <f t="shared" si="46"/>
        <v>1495</v>
      </c>
      <c r="G139" s="389">
        <f t="shared" si="46"/>
        <v>1610</v>
      </c>
      <c r="H139" s="389">
        <f t="shared" si="46"/>
        <v>1725</v>
      </c>
      <c r="I139" s="389">
        <f t="shared" si="46"/>
        <v>1840</v>
      </c>
    </row>
    <row r="140" spans="1:10">
      <c r="A140" s="393"/>
      <c r="B140" s="336" t="s">
        <v>680</v>
      </c>
      <c r="C140" s="342">
        <f t="shared" ref="C140:I140" si="47">+C203</f>
        <v>44000</v>
      </c>
      <c r="D140" s="427">
        <f t="shared" si="47"/>
        <v>46200</v>
      </c>
      <c r="E140" s="427">
        <f t="shared" si="47"/>
        <v>48510</v>
      </c>
      <c r="F140" s="427">
        <f t="shared" si="47"/>
        <v>50940</v>
      </c>
      <c r="G140" s="427">
        <f t="shared" si="47"/>
        <v>53490</v>
      </c>
      <c r="H140" s="427">
        <f t="shared" si="47"/>
        <v>56160</v>
      </c>
      <c r="I140" s="427">
        <f t="shared" si="47"/>
        <v>58970</v>
      </c>
    </row>
    <row r="141" spans="1:10">
      <c r="A141" s="393"/>
      <c r="B141" s="320" t="s">
        <v>681</v>
      </c>
      <c r="C141" s="343">
        <f t="shared" ref="C141:I141" si="48">C139*C140/100000</f>
        <v>506</v>
      </c>
      <c r="D141" s="343">
        <f t="shared" si="48"/>
        <v>584.42999999999995</v>
      </c>
      <c r="E141" s="343">
        <f t="shared" si="48"/>
        <v>669.43799999999999</v>
      </c>
      <c r="F141" s="343">
        <f t="shared" si="48"/>
        <v>761.553</v>
      </c>
      <c r="G141" s="343">
        <f t="shared" si="48"/>
        <v>861.18899999999996</v>
      </c>
      <c r="H141" s="343">
        <f t="shared" si="48"/>
        <v>968.76</v>
      </c>
      <c r="I141" s="343">
        <f t="shared" si="48"/>
        <v>1085.048</v>
      </c>
    </row>
    <row r="142" spans="1:10">
      <c r="A142" s="393"/>
      <c r="B142" s="320"/>
      <c r="C142" s="343"/>
      <c r="D142" s="428"/>
      <c r="E142" s="428"/>
      <c r="F142" s="428"/>
      <c r="G142" s="428"/>
      <c r="H142" s="428"/>
      <c r="I142" s="428"/>
    </row>
    <row r="143" spans="1:10">
      <c r="A143" s="663" t="s">
        <v>169</v>
      </c>
      <c r="B143" s="320" t="str">
        <f>+A41</f>
        <v xml:space="preserve">Husk </v>
      </c>
      <c r="C143" s="336">
        <f t="shared" ref="C143:I143" si="49">+C186</f>
        <v>460</v>
      </c>
      <c r="D143" s="389">
        <f t="shared" si="49"/>
        <v>506</v>
      </c>
      <c r="E143" s="389">
        <f t="shared" si="49"/>
        <v>552</v>
      </c>
      <c r="F143" s="389">
        <f t="shared" si="49"/>
        <v>598</v>
      </c>
      <c r="G143" s="389">
        <f t="shared" si="49"/>
        <v>644</v>
      </c>
      <c r="H143" s="389">
        <f t="shared" si="49"/>
        <v>690</v>
      </c>
      <c r="I143" s="389">
        <f t="shared" si="49"/>
        <v>736</v>
      </c>
    </row>
    <row r="144" spans="1:10">
      <c r="A144" s="393"/>
      <c r="B144" s="336" t="s">
        <v>680</v>
      </c>
      <c r="C144" s="342">
        <f t="shared" ref="C144:I144" si="50">+C204</f>
        <v>2000</v>
      </c>
      <c r="D144" s="427">
        <f t="shared" si="50"/>
        <v>2100</v>
      </c>
      <c r="E144" s="427">
        <f t="shared" si="50"/>
        <v>2210</v>
      </c>
      <c r="F144" s="427">
        <f t="shared" si="50"/>
        <v>2320</v>
      </c>
      <c r="G144" s="427">
        <f t="shared" si="50"/>
        <v>2440</v>
      </c>
      <c r="H144" s="427">
        <f t="shared" si="50"/>
        <v>2560</v>
      </c>
      <c r="I144" s="427">
        <f t="shared" si="50"/>
        <v>2690</v>
      </c>
    </row>
    <row r="145" spans="1:9">
      <c r="A145" s="393"/>
      <c r="B145" s="320" t="s">
        <v>681</v>
      </c>
      <c r="C145" s="343">
        <f t="shared" ref="C145:I145" si="51">C143*C144/100000</f>
        <v>9.1999999999999993</v>
      </c>
      <c r="D145" s="428">
        <f t="shared" si="51"/>
        <v>10.625999999999999</v>
      </c>
      <c r="E145" s="428">
        <f t="shared" si="51"/>
        <v>12.199199999999999</v>
      </c>
      <c r="F145" s="428">
        <f t="shared" si="51"/>
        <v>13.8736</v>
      </c>
      <c r="G145" s="428">
        <f t="shared" si="51"/>
        <v>15.7136</v>
      </c>
      <c r="H145" s="428">
        <f t="shared" si="51"/>
        <v>17.664000000000001</v>
      </c>
      <c r="I145" s="428">
        <f t="shared" si="51"/>
        <v>19.798400000000001</v>
      </c>
    </row>
    <row r="146" spans="1:9">
      <c r="A146" s="393"/>
      <c r="B146" s="321"/>
      <c r="C146" s="321"/>
      <c r="D146" s="346"/>
      <c r="E146" s="346"/>
      <c r="F146" s="346"/>
      <c r="G146" s="346"/>
      <c r="H146" s="346"/>
      <c r="I146" s="346"/>
    </row>
    <row r="147" spans="1:9">
      <c r="A147" s="663" t="s">
        <v>170</v>
      </c>
      <c r="B147" s="345" t="str">
        <f>+A42</f>
        <v>Boken</v>
      </c>
      <c r="C147" s="336">
        <f t="shared" ref="C147:I147" si="52">+C192</f>
        <v>460</v>
      </c>
      <c r="D147" s="389">
        <f t="shared" si="52"/>
        <v>506</v>
      </c>
      <c r="E147" s="389">
        <f t="shared" si="52"/>
        <v>552</v>
      </c>
      <c r="F147" s="389">
        <f t="shared" si="52"/>
        <v>598</v>
      </c>
      <c r="G147" s="389">
        <f t="shared" si="52"/>
        <v>644</v>
      </c>
      <c r="H147" s="389">
        <f t="shared" si="52"/>
        <v>690</v>
      </c>
      <c r="I147" s="389">
        <f t="shared" si="52"/>
        <v>736</v>
      </c>
    </row>
    <row r="148" spans="1:9">
      <c r="A148" s="393"/>
      <c r="B148" s="336" t="s">
        <v>680</v>
      </c>
      <c r="C148" s="342">
        <f t="shared" ref="C148:I148" si="53">+C205</f>
        <v>17000</v>
      </c>
      <c r="D148" s="427">
        <f t="shared" si="53"/>
        <v>17850</v>
      </c>
      <c r="E148" s="427">
        <f t="shared" si="53"/>
        <v>18740</v>
      </c>
      <c r="F148" s="427">
        <f t="shared" si="53"/>
        <v>19680</v>
      </c>
      <c r="G148" s="427">
        <f t="shared" si="53"/>
        <v>20660</v>
      </c>
      <c r="H148" s="427">
        <f t="shared" si="53"/>
        <v>21690</v>
      </c>
      <c r="I148" s="427">
        <f t="shared" si="53"/>
        <v>22770</v>
      </c>
    </row>
    <row r="149" spans="1:9">
      <c r="A149" s="393"/>
      <c r="B149" s="320" t="s">
        <v>681</v>
      </c>
      <c r="C149" s="343">
        <f t="shared" ref="C149:I149" si="54">C147*C148/100000</f>
        <v>78.2</v>
      </c>
      <c r="D149" s="428">
        <f t="shared" si="54"/>
        <v>90.320999999999998</v>
      </c>
      <c r="E149" s="428">
        <f t="shared" si="54"/>
        <v>103.4448</v>
      </c>
      <c r="F149" s="428">
        <f t="shared" si="54"/>
        <v>117.68640000000001</v>
      </c>
      <c r="G149" s="428">
        <f t="shared" si="54"/>
        <v>133.0504</v>
      </c>
      <c r="H149" s="428">
        <f t="shared" si="54"/>
        <v>149.661</v>
      </c>
      <c r="I149" s="428">
        <f t="shared" si="54"/>
        <v>167.5872</v>
      </c>
    </row>
    <row r="150" spans="1:9">
      <c r="A150" s="393"/>
      <c r="B150" s="320"/>
      <c r="C150" s="343"/>
      <c r="D150" s="428"/>
      <c r="E150" s="428"/>
      <c r="F150" s="428"/>
      <c r="G150" s="428"/>
      <c r="H150" s="428"/>
      <c r="I150" s="428"/>
    </row>
    <row r="151" spans="1:9">
      <c r="A151" s="663" t="s">
        <v>170</v>
      </c>
      <c r="B151" s="345" t="str">
        <f>+'Input Sheet'!B113</f>
        <v>Bran</v>
      </c>
      <c r="C151" s="336">
        <f>+C198</f>
        <v>184</v>
      </c>
      <c r="D151" s="342">
        <f t="shared" ref="D151:I151" si="55">+D198</f>
        <v>202.20833333333334</v>
      </c>
      <c r="E151" s="342">
        <f t="shared" si="55"/>
        <v>220.41666666666666</v>
      </c>
      <c r="F151" s="342">
        <f t="shared" si="55"/>
        <v>239.58333333333334</v>
      </c>
      <c r="G151" s="342">
        <f t="shared" si="55"/>
        <v>257.79166666666669</v>
      </c>
      <c r="H151" s="342">
        <f t="shared" si="55"/>
        <v>276</v>
      </c>
      <c r="I151" s="342">
        <f t="shared" si="55"/>
        <v>294.20833333333331</v>
      </c>
    </row>
    <row r="152" spans="1:9">
      <c r="A152" s="393"/>
      <c r="B152" s="336" t="s">
        <v>680</v>
      </c>
      <c r="C152" s="342">
        <f>+'Input Sheet'!C113</f>
        <v>8000</v>
      </c>
      <c r="D152" s="342">
        <f>+'Input Sheet'!D113</f>
        <v>8400</v>
      </c>
      <c r="E152" s="342">
        <f>+'Input Sheet'!E113</f>
        <v>8820</v>
      </c>
      <c r="F152" s="342">
        <f>+'Input Sheet'!F113</f>
        <v>9260</v>
      </c>
      <c r="G152" s="342">
        <f>+'Input Sheet'!G113</f>
        <v>9720</v>
      </c>
      <c r="H152" s="342">
        <f>+'Input Sheet'!H113</f>
        <v>10210</v>
      </c>
      <c r="I152" s="342">
        <f>+'Input Sheet'!I113</f>
        <v>10720</v>
      </c>
    </row>
    <row r="153" spans="1:9">
      <c r="A153" s="393"/>
      <c r="B153" s="320" t="s">
        <v>681</v>
      </c>
      <c r="C153" s="343">
        <f t="shared" ref="C153:I153" si="56">C151*C152/100000</f>
        <v>14.72</v>
      </c>
      <c r="D153" s="428">
        <f t="shared" si="56"/>
        <v>16.985499999999998</v>
      </c>
      <c r="E153" s="428">
        <f t="shared" si="56"/>
        <v>19.440750000000001</v>
      </c>
      <c r="F153" s="428">
        <f t="shared" si="56"/>
        <v>22.185416666666669</v>
      </c>
      <c r="G153" s="428">
        <f t="shared" si="56"/>
        <v>25.05735</v>
      </c>
      <c r="H153" s="428">
        <f t="shared" si="56"/>
        <v>28.179600000000001</v>
      </c>
      <c r="I153" s="428">
        <f t="shared" si="56"/>
        <v>31.539133333333329</v>
      </c>
    </row>
    <row r="154" spans="1:9" hidden="1">
      <c r="A154" s="663" t="s">
        <v>170</v>
      </c>
      <c r="B154" s="320" t="str">
        <f>+A57</f>
        <v>Waste</v>
      </c>
      <c r="C154" s="336" t="e">
        <f>+#REF!</f>
        <v>#REF!</v>
      </c>
      <c r="D154" s="389" t="e">
        <f>+#REF!</f>
        <v>#REF!</v>
      </c>
      <c r="E154" s="389" t="e">
        <f>+#REF!</f>
        <v>#REF!</v>
      </c>
      <c r="F154" s="389" t="e">
        <f>+#REF!</f>
        <v>#REF!</v>
      </c>
      <c r="G154" s="389" t="e">
        <f>+#REF!</f>
        <v>#REF!</v>
      </c>
      <c r="H154" s="389" t="e">
        <f>+#REF!</f>
        <v>#REF!</v>
      </c>
      <c r="I154" s="389" t="e">
        <f>+#REF!</f>
        <v>#REF!</v>
      </c>
    </row>
    <row r="155" spans="1:9" hidden="1">
      <c r="A155" s="393"/>
      <c r="B155" s="336" t="s">
        <v>680</v>
      </c>
      <c r="C155" s="342" t="e">
        <f>+#REF!</f>
        <v>#REF!</v>
      </c>
      <c r="D155" s="427" t="e">
        <f>+#REF!</f>
        <v>#REF!</v>
      </c>
      <c r="E155" s="427" t="e">
        <f>+#REF!</f>
        <v>#REF!</v>
      </c>
      <c r="F155" s="427" t="e">
        <f>+#REF!</f>
        <v>#REF!</v>
      </c>
      <c r="G155" s="427" t="e">
        <f>+#REF!</f>
        <v>#REF!</v>
      </c>
      <c r="H155" s="427" t="e">
        <f>+#REF!</f>
        <v>#REF!</v>
      </c>
      <c r="I155" s="427" t="e">
        <f>+#REF!</f>
        <v>#REF!</v>
      </c>
    </row>
    <row r="156" spans="1:9" hidden="1">
      <c r="A156" s="393"/>
      <c r="B156" s="320" t="s">
        <v>681</v>
      </c>
      <c r="C156" s="343" t="e">
        <f t="shared" ref="C156:I156" si="57">C154*C155/100000</f>
        <v>#REF!</v>
      </c>
      <c r="D156" s="428" t="e">
        <f t="shared" si="57"/>
        <v>#REF!</v>
      </c>
      <c r="E156" s="428" t="e">
        <f t="shared" si="57"/>
        <v>#REF!</v>
      </c>
      <c r="F156" s="428" t="e">
        <f t="shared" si="57"/>
        <v>#REF!</v>
      </c>
      <c r="G156" s="428" t="e">
        <f t="shared" si="57"/>
        <v>#REF!</v>
      </c>
      <c r="H156" s="428" t="e">
        <f t="shared" si="57"/>
        <v>#REF!</v>
      </c>
      <c r="I156" s="428" t="e">
        <f t="shared" si="57"/>
        <v>#REF!</v>
      </c>
    </row>
    <row r="157" spans="1:9" hidden="1">
      <c r="A157" s="393"/>
      <c r="B157" s="320"/>
      <c r="C157" s="343"/>
      <c r="D157" s="428"/>
      <c r="E157" s="428"/>
      <c r="F157" s="428"/>
      <c r="G157" s="428"/>
      <c r="H157" s="428"/>
      <c r="I157" s="428"/>
    </row>
    <row r="158" spans="1:9" hidden="1">
      <c r="A158" s="662"/>
      <c r="B158" s="340" t="str">
        <f>+'Input Sheet'!B101</f>
        <v>Chilli</v>
      </c>
      <c r="C158" s="339"/>
      <c r="D158" s="426"/>
      <c r="E158" s="426"/>
      <c r="F158" s="426"/>
      <c r="G158" s="426"/>
      <c r="H158" s="426"/>
      <c r="I158" s="426"/>
    </row>
    <row r="159" spans="1:9" hidden="1">
      <c r="A159" s="663" t="s">
        <v>168</v>
      </c>
      <c r="B159" s="320" t="str">
        <f>+A60</f>
        <v>Green Chilli</v>
      </c>
      <c r="C159" s="336">
        <v>0</v>
      </c>
      <c r="D159" s="336">
        <v>0</v>
      </c>
      <c r="E159" s="336">
        <v>0</v>
      </c>
      <c r="F159" s="336">
        <v>0</v>
      </c>
      <c r="G159" s="336">
        <v>0</v>
      </c>
      <c r="H159" s="336">
        <v>0</v>
      </c>
      <c r="I159" s="336">
        <v>0</v>
      </c>
    </row>
    <row r="160" spans="1:9" hidden="1">
      <c r="A160" s="393"/>
      <c r="B160" s="336" t="s">
        <v>680</v>
      </c>
      <c r="C160" s="342" t="e">
        <f>+#REF!</f>
        <v>#REF!</v>
      </c>
      <c r="D160" s="427" t="e">
        <f>+#REF!</f>
        <v>#REF!</v>
      </c>
      <c r="E160" s="427" t="e">
        <f>+#REF!</f>
        <v>#REF!</v>
      </c>
      <c r="F160" s="427" t="e">
        <f>+#REF!</f>
        <v>#REF!</v>
      </c>
      <c r="G160" s="427" t="e">
        <f>+#REF!</f>
        <v>#REF!</v>
      </c>
      <c r="H160" s="427" t="e">
        <f>+#REF!</f>
        <v>#REF!</v>
      </c>
      <c r="I160" s="427" t="e">
        <f>+#REF!</f>
        <v>#REF!</v>
      </c>
    </row>
    <row r="161" spans="1:10" hidden="1">
      <c r="A161" s="393"/>
      <c r="B161" s="320" t="s">
        <v>681</v>
      </c>
      <c r="C161" s="343" t="e">
        <f t="shared" ref="C161:I161" si="58">C159*C160/100000</f>
        <v>#REF!</v>
      </c>
      <c r="D161" s="428" t="e">
        <f t="shared" si="58"/>
        <v>#REF!</v>
      </c>
      <c r="E161" s="428" t="e">
        <f t="shared" si="58"/>
        <v>#REF!</v>
      </c>
      <c r="F161" s="428" t="e">
        <f t="shared" si="58"/>
        <v>#REF!</v>
      </c>
      <c r="G161" s="428" t="e">
        <f t="shared" si="58"/>
        <v>#REF!</v>
      </c>
      <c r="H161" s="428" t="e">
        <f t="shared" si="58"/>
        <v>#REF!</v>
      </c>
      <c r="I161" s="428" t="e">
        <f t="shared" si="58"/>
        <v>#REF!</v>
      </c>
    </row>
    <row r="162" spans="1:10" hidden="1">
      <c r="A162" s="393"/>
      <c r="B162" s="320"/>
      <c r="C162" s="343"/>
      <c r="D162" s="428"/>
      <c r="E162" s="428"/>
      <c r="F162" s="428"/>
      <c r="G162" s="428"/>
      <c r="H162" s="428"/>
      <c r="I162" s="428"/>
    </row>
    <row r="163" spans="1:10" hidden="1">
      <c r="A163" s="646" t="s">
        <v>169</v>
      </c>
      <c r="B163" s="320" t="str">
        <f>+A61</f>
        <v>Red Chilli</v>
      </c>
      <c r="C163" s="336">
        <v>0</v>
      </c>
      <c r="D163" s="336">
        <v>0</v>
      </c>
      <c r="E163" s="336">
        <v>0</v>
      </c>
      <c r="F163" s="336">
        <v>0</v>
      </c>
      <c r="G163" s="336">
        <v>0</v>
      </c>
      <c r="H163" s="336">
        <v>0</v>
      </c>
      <c r="I163" s="336">
        <v>0</v>
      </c>
    </row>
    <row r="164" spans="1:10" hidden="1">
      <c r="A164" s="393"/>
      <c r="B164" s="336" t="s">
        <v>680</v>
      </c>
      <c r="C164" s="342" t="e">
        <f>+#REF!</f>
        <v>#REF!</v>
      </c>
      <c r="D164" s="427" t="e">
        <f>+#REF!</f>
        <v>#REF!</v>
      </c>
      <c r="E164" s="427" t="e">
        <f>+#REF!</f>
        <v>#REF!</v>
      </c>
      <c r="F164" s="427" t="e">
        <f>+#REF!</f>
        <v>#REF!</v>
      </c>
      <c r="G164" s="427" t="e">
        <f>+#REF!</f>
        <v>#REF!</v>
      </c>
      <c r="H164" s="427" t="e">
        <f>+#REF!</f>
        <v>#REF!</v>
      </c>
      <c r="I164" s="427" t="e">
        <f>+#REF!</f>
        <v>#REF!</v>
      </c>
    </row>
    <row r="165" spans="1:10" hidden="1">
      <c r="A165" s="393"/>
      <c r="B165" s="320" t="s">
        <v>681</v>
      </c>
      <c r="C165" s="343" t="e">
        <f t="shared" ref="C165:I165" si="59">C163*C164/100000</f>
        <v>#REF!</v>
      </c>
      <c r="D165" s="428" t="e">
        <f t="shared" si="59"/>
        <v>#REF!</v>
      </c>
      <c r="E165" s="428" t="e">
        <f t="shared" si="59"/>
        <v>#REF!</v>
      </c>
      <c r="F165" s="428" t="e">
        <f t="shared" si="59"/>
        <v>#REF!</v>
      </c>
      <c r="G165" s="428" t="e">
        <f t="shared" si="59"/>
        <v>#REF!</v>
      </c>
      <c r="H165" s="428" t="e">
        <f t="shared" si="59"/>
        <v>#REF!</v>
      </c>
      <c r="I165" s="428" t="e">
        <f t="shared" si="59"/>
        <v>#REF!</v>
      </c>
    </row>
    <row r="166" spans="1:10" hidden="1">
      <c r="A166" s="393"/>
      <c r="B166" s="321"/>
      <c r="C166" s="321"/>
      <c r="D166" s="346"/>
      <c r="E166" s="346"/>
      <c r="F166" s="346"/>
      <c r="G166" s="346"/>
      <c r="H166" s="346"/>
      <c r="I166" s="346"/>
    </row>
    <row r="167" spans="1:10" hidden="1">
      <c r="A167" s="393"/>
      <c r="B167" s="321"/>
      <c r="C167" s="321"/>
      <c r="D167" s="346"/>
      <c r="E167" s="346"/>
      <c r="F167" s="346"/>
      <c r="G167" s="346"/>
      <c r="H167" s="346"/>
      <c r="I167" s="346"/>
    </row>
    <row r="168" spans="1:10">
      <c r="A168" s="393"/>
      <c r="B168" s="321"/>
      <c r="C168" s="321"/>
      <c r="D168" s="346"/>
      <c r="E168" s="346"/>
      <c r="F168" s="346"/>
      <c r="G168" s="346"/>
      <c r="H168" s="346"/>
      <c r="I168" s="346"/>
    </row>
    <row r="169" spans="1:10">
      <c r="A169" s="393"/>
      <c r="B169" s="321"/>
      <c r="C169" s="321"/>
      <c r="D169" s="346"/>
      <c r="E169" s="346"/>
      <c r="F169" s="346"/>
      <c r="G169" s="346"/>
      <c r="H169" s="346"/>
      <c r="I169" s="346"/>
    </row>
    <row r="170" spans="1:10">
      <c r="A170" s="393"/>
      <c r="B170" s="322" t="s">
        <v>683</v>
      </c>
      <c r="C170" s="344">
        <f>+C141+C145+C149+C153</f>
        <v>608.12000000000012</v>
      </c>
      <c r="D170" s="344">
        <f t="shared" ref="D170:I170" si="60">+D141+D145+D149+D153</f>
        <v>702.36249999999995</v>
      </c>
      <c r="E170" s="344">
        <f t="shared" si="60"/>
        <v>804.52274999999997</v>
      </c>
      <c r="F170" s="344">
        <f t="shared" si="60"/>
        <v>915.29841666666675</v>
      </c>
      <c r="G170" s="344">
        <f t="shared" si="60"/>
        <v>1035.01035</v>
      </c>
      <c r="H170" s="344">
        <f t="shared" si="60"/>
        <v>1164.2646</v>
      </c>
      <c r="I170" s="344">
        <f t="shared" si="60"/>
        <v>1303.9727333333333</v>
      </c>
    </row>
    <row r="172" spans="1:10" ht="20.25">
      <c r="A172" s="661" t="s">
        <v>691</v>
      </c>
      <c r="B172" s="347"/>
      <c r="C172" s="347"/>
      <c r="D172" s="429"/>
      <c r="E172" s="429"/>
      <c r="F172" s="429"/>
      <c r="G172" s="429"/>
      <c r="H172" s="429"/>
      <c r="I172" s="429"/>
    </row>
    <row r="173" spans="1:10">
      <c r="A173" s="49" t="s">
        <v>679</v>
      </c>
      <c r="B173" s="122" t="s">
        <v>0</v>
      </c>
      <c r="C173" s="122" t="s">
        <v>2</v>
      </c>
      <c r="D173" s="122" t="s">
        <v>3</v>
      </c>
      <c r="E173" s="122" t="s">
        <v>4</v>
      </c>
      <c r="F173" s="122" t="s">
        <v>5</v>
      </c>
      <c r="G173" s="122" t="s">
        <v>6</v>
      </c>
      <c r="H173" s="122" t="s">
        <v>164</v>
      </c>
      <c r="I173" s="122" t="s">
        <v>163</v>
      </c>
      <c r="J173" s="365">
        <v>3</v>
      </c>
    </row>
    <row r="174" spans="1:10">
      <c r="A174" s="664"/>
      <c r="B174" s="612" t="str">
        <f>+'Input Sheet'!B81</f>
        <v>Finished Goods  -Paddy (MT)</v>
      </c>
      <c r="C174" s="331"/>
      <c r="D174" s="418"/>
      <c r="E174" s="418"/>
      <c r="F174" s="418"/>
      <c r="G174" s="418"/>
      <c r="H174" s="418"/>
      <c r="I174" s="418"/>
    </row>
    <row r="175" spans="1:10">
      <c r="A175" s="663" t="s">
        <v>168</v>
      </c>
      <c r="B175" s="320" t="str">
        <f>+B139</f>
        <v xml:space="preserve">Rice </v>
      </c>
      <c r="C175" s="336"/>
      <c r="D175" s="389"/>
      <c r="E175" s="389"/>
      <c r="F175" s="389"/>
      <c r="G175" s="389"/>
      <c r="H175" s="346"/>
      <c r="I175" s="346"/>
    </row>
    <row r="176" spans="1:10">
      <c r="A176" s="664"/>
      <c r="B176" s="336" t="s">
        <v>684</v>
      </c>
      <c r="C176" s="336">
        <f>0</f>
        <v>0</v>
      </c>
      <c r="D176" s="389">
        <f t="shared" ref="D176" si="61">C179</f>
        <v>50</v>
      </c>
      <c r="E176" s="389">
        <f t="shared" ref="E176" si="62">D179</f>
        <v>105</v>
      </c>
      <c r="F176" s="389">
        <f t="shared" ref="F176" si="63">E179</f>
        <v>165</v>
      </c>
      <c r="G176" s="389">
        <f t="shared" ref="G176" si="64">F179</f>
        <v>230</v>
      </c>
      <c r="H176" s="389">
        <f t="shared" ref="H176" si="65">G179</f>
        <v>300</v>
      </c>
      <c r="I176" s="389">
        <f t="shared" ref="I176" si="66">H179</f>
        <v>375</v>
      </c>
    </row>
    <row r="177" spans="1:9">
      <c r="A177" s="664"/>
      <c r="B177" s="336" t="s">
        <v>685</v>
      </c>
      <c r="C177" s="391">
        <f t="shared" ref="C177:I177" si="67">+B40</f>
        <v>1200</v>
      </c>
      <c r="D177" s="391">
        <f t="shared" si="67"/>
        <v>1320</v>
      </c>
      <c r="E177" s="391">
        <f t="shared" si="67"/>
        <v>1440</v>
      </c>
      <c r="F177" s="391">
        <f t="shared" si="67"/>
        <v>1560</v>
      </c>
      <c r="G177" s="391">
        <f t="shared" si="67"/>
        <v>1680</v>
      </c>
      <c r="H177" s="391">
        <f t="shared" si="67"/>
        <v>1800</v>
      </c>
      <c r="I177" s="391">
        <f t="shared" si="67"/>
        <v>1920</v>
      </c>
    </row>
    <row r="178" spans="1:9">
      <c r="A178" s="664"/>
      <c r="B178" s="336" t="s">
        <v>686</v>
      </c>
      <c r="C178" s="342">
        <f t="shared" ref="C178:I178" si="68">C176+C177-C179</f>
        <v>1150</v>
      </c>
      <c r="D178" s="342">
        <f t="shared" si="68"/>
        <v>1265</v>
      </c>
      <c r="E178" s="342">
        <f t="shared" si="68"/>
        <v>1380</v>
      </c>
      <c r="F178" s="342">
        <f t="shared" si="68"/>
        <v>1495</v>
      </c>
      <c r="G178" s="342">
        <f t="shared" si="68"/>
        <v>1610</v>
      </c>
      <c r="H178" s="342">
        <f t="shared" si="68"/>
        <v>1725</v>
      </c>
      <c r="I178" s="342">
        <f t="shared" si="68"/>
        <v>1840</v>
      </c>
    </row>
    <row r="179" spans="1:9">
      <c r="A179" s="664"/>
      <c r="B179" s="336" t="s">
        <v>334</v>
      </c>
      <c r="C179" s="389">
        <f>+(C176+C177/'Input Sheet'!$D$92)</f>
        <v>50</v>
      </c>
      <c r="D179" s="389">
        <f>+(D176+D177/'Input Sheet'!$D$92)</f>
        <v>105</v>
      </c>
      <c r="E179" s="389">
        <f>+(E176+E177/'Input Sheet'!$D$92)</f>
        <v>165</v>
      </c>
      <c r="F179" s="389">
        <f>+(F176+F177/'Input Sheet'!$D$92)</f>
        <v>230</v>
      </c>
      <c r="G179" s="389">
        <f>+(G176+G177/'Input Sheet'!$D$92)</f>
        <v>300</v>
      </c>
      <c r="H179" s="389">
        <f>+(H176+H177/'Input Sheet'!$D$92)</f>
        <v>375</v>
      </c>
      <c r="I179" s="389">
        <f>+(I176+I177/'Input Sheet'!$D$92)</f>
        <v>455</v>
      </c>
    </row>
    <row r="180" spans="1:9">
      <c r="A180" s="664"/>
      <c r="B180" s="336"/>
      <c r="C180" s="336"/>
      <c r="D180" s="389"/>
      <c r="E180" s="389"/>
      <c r="F180" s="389"/>
      <c r="G180" s="389"/>
      <c r="H180" s="389"/>
      <c r="I180" s="389"/>
    </row>
    <row r="181" spans="1:9">
      <c r="A181" s="664"/>
      <c r="B181" s="336"/>
      <c r="C181" s="336"/>
      <c r="D181" s="389"/>
      <c r="E181" s="389"/>
      <c r="F181" s="389"/>
      <c r="G181" s="389"/>
      <c r="H181" s="389"/>
      <c r="I181" s="389"/>
    </row>
    <row r="182" spans="1:9">
      <c r="A182" s="393"/>
      <c r="B182" s="321"/>
      <c r="C182" s="321"/>
      <c r="D182" s="346"/>
      <c r="E182" s="346"/>
      <c r="F182" s="346"/>
      <c r="G182" s="346"/>
      <c r="H182" s="346"/>
      <c r="I182" s="346"/>
    </row>
    <row r="183" spans="1:9">
      <c r="A183" s="663" t="s">
        <v>169</v>
      </c>
      <c r="B183" s="322" t="str">
        <f>+B143</f>
        <v xml:space="preserve">Husk </v>
      </c>
      <c r="C183" s="322"/>
      <c r="D183" s="344"/>
      <c r="E183" s="344"/>
      <c r="F183" s="344"/>
      <c r="G183" s="344"/>
      <c r="H183" s="344"/>
      <c r="I183" s="344"/>
    </row>
    <row r="184" spans="1:9">
      <c r="A184" s="393"/>
      <c r="B184" s="336" t="s">
        <v>684</v>
      </c>
      <c r="C184" s="336">
        <f>0</f>
        <v>0</v>
      </c>
      <c r="D184" s="389">
        <f t="shared" ref="D184:I184" si="69">C187</f>
        <v>20</v>
      </c>
      <c r="E184" s="389">
        <f t="shared" si="69"/>
        <v>42</v>
      </c>
      <c r="F184" s="389">
        <f t="shared" si="69"/>
        <v>66</v>
      </c>
      <c r="G184" s="389">
        <f t="shared" si="69"/>
        <v>92</v>
      </c>
      <c r="H184" s="389">
        <f t="shared" si="69"/>
        <v>120</v>
      </c>
      <c r="I184" s="389">
        <f t="shared" si="69"/>
        <v>150</v>
      </c>
    </row>
    <row r="185" spans="1:9">
      <c r="A185" s="393"/>
      <c r="B185" s="336" t="s">
        <v>685</v>
      </c>
      <c r="C185" s="628">
        <f t="shared" ref="C185:I185" si="70">+B41</f>
        <v>480</v>
      </c>
      <c r="D185" s="628">
        <f t="shared" si="70"/>
        <v>528</v>
      </c>
      <c r="E185" s="628">
        <f t="shared" si="70"/>
        <v>576</v>
      </c>
      <c r="F185" s="628">
        <f t="shared" si="70"/>
        <v>624</v>
      </c>
      <c r="G185" s="628">
        <f t="shared" si="70"/>
        <v>672</v>
      </c>
      <c r="H185" s="628">
        <f t="shared" si="70"/>
        <v>720</v>
      </c>
      <c r="I185" s="628">
        <f t="shared" si="70"/>
        <v>768</v>
      </c>
    </row>
    <row r="186" spans="1:9">
      <c r="A186" s="393"/>
      <c r="B186" s="336" t="s">
        <v>686</v>
      </c>
      <c r="C186" s="336">
        <f t="shared" ref="C186:I186" si="71">C184+C185-C187</f>
        <v>460</v>
      </c>
      <c r="D186" s="389">
        <f t="shared" si="71"/>
        <v>506</v>
      </c>
      <c r="E186" s="389">
        <f t="shared" si="71"/>
        <v>552</v>
      </c>
      <c r="F186" s="389">
        <f t="shared" si="71"/>
        <v>598</v>
      </c>
      <c r="G186" s="389">
        <f t="shared" si="71"/>
        <v>644</v>
      </c>
      <c r="H186" s="389">
        <f t="shared" si="71"/>
        <v>690</v>
      </c>
      <c r="I186" s="389">
        <f t="shared" si="71"/>
        <v>736</v>
      </c>
    </row>
    <row r="187" spans="1:9">
      <c r="A187" s="393"/>
      <c r="B187" s="336" t="s">
        <v>334</v>
      </c>
      <c r="C187" s="389">
        <f>+(C184+C185/'Input Sheet'!$D$92)</f>
        <v>20</v>
      </c>
      <c r="D187" s="389">
        <f>+(D184+D185/'Input Sheet'!$D$92)</f>
        <v>42</v>
      </c>
      <c r="E187" s="389">
        <f>+(E184+E185/'Input Sheet'!$D$92)</f>
        <v>66</v>
      </c>
      <c r="F187" s="389">
        <f>+(F184+F185/'Input Sheet'!$D$92)</f>
        <v>92</v>
      </c>
      <c r="G187" s="389">
        <f>+(G184+G185/'Input Sheet'!$D$92)</f>
        <v>120</v>
      </c>
      <c r="H187" s="389">
        <f>+(H184+H185/'Input Sheet'!$D$92)</f>
        <v>150</v>
      </c>
      <c r="I187" s="389">
        <f>+(I184+I185/'Input Sheet'!$D$92)</f>
        <v>182</v>
      </c>
    </row>
    <row r="188" spans="1:9">
      <c r="A188" s="393"/>
      <c r="B188" s="321"/>
      <c r="C188" s="321"/>
      <c r="D188" s="346"/>
      <c r="E188" s="346"/>
      <c r="F188" s="346"/>
      <c r="G188" s="346"/>
      <c r="H188" s="346"/>
      <c r="I188" s="346"/>
    </row>
    <row r="189" spans="1:9">
      <c r="A189" s="663" t="s">
        <v>170</v>
      </c>
      <c r="B189" s="345" t="str">
        <f>+B147</f>
        <v>Boken</v>
      </c>
      <c r="C189" s="322"/>
      <c r="D189" s="344"/>
      <c r="E189" s="344"/>
      <c r="F189" s="344"/>
      <c r="G189" s="344"/>
      <c r="H189" s="344"/>
      <c r="I189" s="344"/>
    </row>
    <row r="190" spans="1:9">
      <c r="A190" s="393"/>
      <c r="B190" s="336" t="s">
        <v>684</v>
      </c>
      <c r="C190" s="336">
        <f>0</f>
        <v>0</v>
      </c>
      <c r="D190" s="389">
        <f t="shared" ref="D190:I190" si="72">C193</f>
        <v>20</v>
      </c>
      <c r="E190" s="389">
        <f t="shared" si="72"/>
        <v>42</v>
      </c>
      <c r="F190" s="389">
        <f t="shared" si="72"/>
        <v>66</v>
      </c>
      <c r="G190" s="389">
        <f t="shared" si="72"/>
        <v>92</v>
      </c>
      <c r="H190" s="389">
        <f t="shared" si="72"/>
        <v>120</v>
      </c>
      <c r="I190" s="389">
        <f t="shared" si="72"/>
        <v>150</v>
      </c>
    </row>
    <row r="191" spans="1:9">
      <c r="A191" s="393"/>
      <c r="B191" s="336" t="s">
        <v>685</v>
      </c>
      <c r="C191" s="337">
        <f t="shared" ref="C191:I191" si="73">+B42</f>
        <v>480</v>
      </c>
      <c r="D191" s="337">
        <f t="shared" si="73"/>
        <v>528</v>
      </c>
      <c r="E191" s="337">
        <f t="shared" si="73"/>
        <v>576</v>
      </c>
      <c r="F191" s="337">
        <f t="shared" si="73"/>
        <v>624</v>
      </c>
      <c r="G191" s="337">
        <f t="shared" si="73"/>
        <v>672</v>
      </c>
      <c r="H191" s="337">
        <f t="shared" si="73"/>
        <v>720</v>
      </c>
      <c r="I191" s="337">
        <f t="shared" si="73"/>
        <v>768</v>
      </c>
    </row>
    <row r="192" spans="1:9">
      <c r="A192" s="393"/>
      <c r="B192" s="336" t="s">
        <v>686</v>
      </c>
      <c r="C192" s="336">
        <f t="shared" ref="C192:I192" si="74">C190+C191-C193</f>
        <v>460</v>
      </c>
      <c r="D192" s="389">
        <f t="shared" si="74"/>
        <v>506</v>
      </c>
      <c r="E192" s="389">
        <f t="shared" si="74"/>
        <v>552</v>
      </c>
      <c r="F192" s="389">
        <f t="shared" si="74"/>
        <v>598</v>
      </c>
      <c r="G192" s="389">
        <f t="shared" si="74"/>
        <v>644</v>
      </c>
      <c r="H192" s="389">
        <f t="shared" si="74"/>
        <v>690</v>
      </c>
      <c r="I192" s="389">
        <f t="shared" si="74"/>
        <v>736</v>
      </c>
    </row>
    <row r="193" spans="1:9">
      <c r="A193" s="393"/>
      <c r="B193" s="336" t="s">
        <v>334</v>
      </c>
      <c r="C193" s="389">
        <f>+(C190+C191/'Input Sheet'!$D$92)</f>
        <v>20</v>
      </c>
      <c r="D193" s="389">
        <f>+(D190+D191/'Input Sheet'!$D$92)</f>
        <v>42</v>
      </c>
      <c r="E193" s="389">
        <f>+(E190+E191/'Input Sheet'!$D$92)</f>
        <v>66</v>
      </c>
      <c r="F193" s="389">
        <f>+(F190+F191/'Input Sheet'!$D$92)</f>
        <v>92</v>
      </c>
      <c r="G193" s="389">
        <f>+(G190+G191/'Input Sheet'!$D$92)</f>
        <v>120</v>
      </c>
      <c r="H193" s="389">
        <f>+(H190+H191/'Input Sheet'!$D$92)</f>
        <v>150</v>
      </c>
      <c r="I193" s="389">
        <f>+(I190+I191/'Input Sheet'!$D$92)</f>
        <v>182</v>
      </c>
    </row>
    <row r="194" spans="1:9">
      <c r="A194" s="393"/>
      <c r="B194" s="336"/>
      <c r="C194" s="336"/>
      <c r="D194" s="389"/>
      <c r="E194" s="389"/>
      <c r="F194" s="389"/>
      <c r="G194" s="389"/>
      <c r="H194" s="389"/>
      <c r="I194" s="389"/>
    </row>
    <row r="195" spans="1:9">
      <c r="A195" s="663" t="s">
        <v>171</v>
      </c>
      <c r="B195" s="345" t="str">
        <f>+'Input Sheet'!B32</f>
        <v>Bran</v>
      </c>
      <c r="C195" s="322"/>
      <c r="D195" s="344"/>
      <c r="E195" s="344"/>
      <c r="F195" s="344"/>
      <c r="G195" s="344"/>
      <c r="H195" s="344"/>
      <c r="I195" s="344"/>
    </row>
    <row r="196" spans="1:9">
      <c r="A196" s="393"/>
      <c r="B196" s="336" t="s">
        <v>684</v>
      </c>
      <c r="C196" s="336">
        <f>0</f>
        <v>0</v>
      </c>
      <c r="D196" s="389">
        <f t="shared" ref="D196" si="75">C199</f>
        <v>8</v>
      </c>
      <c r="E196" s="389">
        <f t="shared" ref="E196" si="76">D199</f>
        <v>16.791666666666664</v>
      </c>
      <c r="F196" s="389">
        <f t="shared" ref="F196" si="77">E199</f>
        <v>26.375</v>
      </c>
      <c r="G196" s="389">
        <f t="shared" ref="G196" si="78">F199</f>
        <v>36.791666666666664</v>
      </c>
      <c r="H196" s="389">
        <f t="shared" ref="H196" si="79">G199</f>
        <v>48</v>
      </c>
      <c r="I196" s="389">
        <f t="shared" ref="I196" si="80">H199</f>
        <v>60</v>
      </c>
    </row>
    <row r="197" spans="1:9">
      <c r="A197" s="393"/>
      <c r="B197" s="336" t="s">
        <v>685</v>
      </c>
      <c r="C197" s="337">
        <f t="shared" ref="C197:I197" si="81">+B43</f>
        <v>192</v>
      </c>
      <c r="D197" s="337">
        <f t="shared" si="81"/>
        <v>211</v>
      </c>
      <c r="E197" s="337">
        <f t="shared" si="81"/>
        <v>230</v>
      </c>
      <c r="F197" s="337">
        <f t="shared" si="81"/>
        <v>250</v>
      </c>
      <c r="G197" s="337">
        <f t="shared" si="81"/>
        <v>269</v>
      </c>
      <c r="H197" s="337">
        <f t="shared" si="81"/>
        <v>288</v>
      </c>
      <c r="I197" s="337">
        <f t="shared" si="81"/>
        <v>307</v>
      </c>
    </row>
    <row r="198" spans="1:9">
      <c r="A198" s="393"/>
      <c r="B198" s="336" t="s">
        <v>686</v>
      </c>
      <c r="C198" s="336">
        <f t="shared" ref="C198:I198" si="82">C196+C197-C199</f>
        <v>184</v>
      </c>
      <c r="D198" s="389">
        <f t="shared" si="82"/>
        <v>202.20833333333334</v>
      </c>
      <c r="E198" s="389">
        <f t="shared" si="82"/>
        <v>220.41666666666666</v>
      </c>
      <c r="F198" s="389">
        <f t="shared" si="82"/>
        <v>239.58333333333334</v>
      </c>
      <c r="G198" s="389">
        <f t="shared" si="82"/>
        <v>257.79166666666669</v>
      </c>
      <c r="H198" s="389">
        <f t="shared" si="82"/>
        <v>276</v>
      </c>
      <c r="I198" s="389">
        <f t="shared" si="82"/>
        <v>294.20833333333331</v>
      </c>
    </row>
    <row r="199" spans="1:9">
      <c r="A199" s="393"/>
      <c r="B199" s="336" t="s">
        <v>334</v>
      </c>
      <c r="C199" s="389">
        <f>+(C196+C197/'Input Sheet'!$D$92)</f>
        <v>8</v>
      </c>
      <c r="D199" s="389">
        <f>+(D196+D197/'Input Sheet'!$D$92)</f>
        <v>16.791666666666664</v>
      </c>
      <c r="E199" s="389">
        <f>+(E196+E197/'Input Sheet'!$D$92)</f>
        <v>26.375</v>
      </c>
      <c r="F199" s="389">
        <f>+(F196+F197/'Input Sheet'!$D$92)</f>
        <v>36.791666666666664</v>
      </c>
      <c r="G199" s="389">
        <f>+(G196+G197/'Input Sheet'!$D$92)</f>
        <v>48</v>
      </c>
      <c r="H199" s="389">
        <f>+(H196+H197/'Input Sheet'!$D$92)</f>
        <v>60</v>
      </c>
      <c r="I199" s="389">
        <f>+(I196+I197/'Input Sheet'!$D$92)</f>
        <v>72.791666666666671</v>
      </c>
    </row>
    <row r="200" spans="1:9">
      <c r="A200" s="393"/>
      <c r="B200" s="336"/>
      <c r="C200" s="336"/>
      <c r="D200" s="389"/>
      <c r="E200" s="389"/>
      <c r="F200" s="389"/>
      <c r="G200" s="389"/>
      <c r="H200" s="389"/>
      <c r="I200" s="389"/>
    </row>
    <row r="201" spans="1:9">
      <c r="A201" s="393"/>
      <c r="B201" s="321"/>
      <c r="C201" s="321"/>
      <c r="D201" s="346"/>
      <c r="E201" s="346"/>
      <c r="F201" s="346"/>
      <c r="G201" s="346"/>
      <c r="H201" s="346"/>
      <c r="I201" s="346"/>
    </row>
    <row r="202" spans="1:9">
      <c r="A202" s="393"/>
      <c r="B202" s="320" t="s">
        <v>687</v>
      </c>
      <c r="C202" s="336"/>
      <c r="D202" s="346"/>
      <c r="E202" s="346"/>
      <c r="F202" s="346"/>
      <c r="G202" s="346"/>
      <c r="H202" s="346"/>
      <c r="I202" s="346"/>
    </row>
    <row r="203" spans="1:9">
      <c r="A203" s="664" t="s">
        <v>168</v>
      </c>
      <c r="B203" s="333" t="str">
        <f>+B175</f>
        <v xml:space="preserve">Rice </v>
      </c>
      <c r="C203" s="573">
        <f>+'Input Sheet'!C110</f>
        <v>44000</v>
      </c>
      <c r="D203" s="573">
        <f>+'Input Sheet'!D110</f>
        <v>46200</v>
      </c>
      <c r="E203" s="573">
        <f>+'Input Sheet'!E110</f>
        <v>48510</v>
      </c>
      <c r="F203" s="573">
        <f>+'Input Sheet'!F110</f>
        <v>50940</v>
      </c>
      <c r="G203" s="573">
        <f>+'Input Sheet'!G110</f>
        <v>53490</v>
      </c>
      <c r="H203" s="573">
        <f>+'Input Sheet'!H110</f>
        <v>56160</v>
      </c>
      <c r="I203" s="573">
        <f>+'Input Sheet'!I110</f>
        <v>58970</v>
      </c>
    </row>
    <row r="204" spans="1:9">
      <c r="A204" s="664" t="s">
        <v>169</v>
      </c>
      <c r="B204" s="333" t="str">
        <f>B183</f>
        <v xml:space="preserve">Husk </v>
      </c>
      <c r="C204" s="573">
        <f>+'Input Sheet'!C111</f>
        <v>2000</v>
      </c>
      <c r="D204" s="573">
        <f>+'Input Sheet'!D111</f>
        <v>2100</v>
      </c>
      <c r="E204" s="573">
        <f>+'Input Sheet'!E111</f>
        <v>2210</v>
      </c>
      <c r="F204" s="573">
        <f>+'Input Sheet'!F111</f>
        <v>2320</v>
      </c>
      <c r="G204" s="573">
        <f>+'Input Sheet'!G111</f>
        <v>2440</v>
      </c>
      <c r="H204" s="573">
        <f>+'Input Sheet'!H111</f>
        <v>2560</v>
      </c>
      <c r="I204" s="573">
        <f>+'Input Sheet'!I111</f>
        <v>2690</v>
      </c>
    </row>
    <row r="205" spans="1:9">
      <c r="A205" s="664" t="s">
        <v>170</v>
      </c>
      <c r="B205" s="333" t="str">
        <f>B189</f>
        <v>Boken</v>
      </c>
      <c r="C205" s="573">
        <f>+'Input Sheet'!C112</f>
        <v>17000</v>
      </c>
      <c r="D205" s="573">
        <f>+'Input Sheet'!D112</f>
        <v>17850</v>
      </c>
      <c r="E205" s="573">
        <f>+'Input Sheet'!E112</f>
        <v>18740</v>
      </c>
      <c r="F205" s="573">
        <f>+'Input Sheet'!F112</f>
        <v>19680</v>
      </c>
      <c r="G205" s="573">
        <f>+'Input Sheet'!G112</f>
        <v>20660</v>
      </c>
      <c r="H205" s="573">
        <f>+'Input Sheet'!H112</f>
        <v>21690</v>
      </c>
      <c r="I205" s="573">
        <f>+'Input Sheet'!I112</f>
        <v>22770</v>
      </c>
    </row>
    <row r="206" spans="1:9">
      <c r="A206" s="664" t="s">
        <v>171</v>
      </c>
      <c r="B206" s="333" t="str">
        <f>+'Input Sheet'!B32</f>
        <v>Bran</v>
      </c>
      <c r="C206" s="573">
        <f>+'Input Sheet'!C113</f>
        <v>8000</v>
      </c>
      <c r="D206" s="573">
        <f>+'Input Sheet'!D113</f>
        <v>8400</v>
      </c>
      <c r="E206" s="573">
        <f>+'Input Sheet'!E113</f>
        <v>8820</v>
      </c>
      <c r="F206" s="573">
        <f>+'Input Sheet'!F113</f>
        <v>9260</v>
      </c>
      <c r="G206" s="573">
        <f>+'Input Sheet'!G113</f>
        <v>9720</v>
      </c>
      <c r="H206" s="573">
        <f>+'Input Sheet'!H113</f>
        <v>10210</v>
      </c>
      <c r="I206" s="573">
        <f>+'Input Sheet'!I113</f>
        <v>10720</v>
      </c>
    </row>
    <row r="207" spans="1:9">
      <c r="A207" s="393"/>
      <c r="B207" s="321"/>
      <c r="C207" s="321"/>
      <c r="D207" s="346"/>
      <c r="E207" s="346"/>
      <c r="F207" s="346"/>
      <c r="G207" s="346"/>
      <c r="H207" s="346"/>
      <c r="I207" s="346"/>
    </row>
    <row r="208" spans="1:9">
      <c r="A208" s="646" t="s">
        <v>168</v>
      </c>
      <c r="B208" s="613" t="str">
        <f>B203</f>
        <v xml:space="preserve">Rice </v>
      </c>
      <c r="C208" s="321"/>
      <c r="D208" s="346"/>
      <c r="E208" s="346"/>
      <c r="F208" s="346"/>
      <c r="G208" s="346"/>
      <c r="H208" s="346"/>
      <c r="I208" s="346"/>
    </row>
    <row r="209" spans="1:9">
      <c r="A209" s="393"/>
      <c r="B209" s="336" t="s">
        <v>688</v>
      </c>
      <c r="C209" s="342">
        <v>0</v>
      </c>
      <c r="D209" s="427">
        <f t="shared" ref="D209:I209" si="83">C210</f>
        <v>22</v>
      </c>
      <c r="E209" s="427">
        <f t="shared" si="83"/>
        <v>48.51</v>
      </c>
      <c r="F209" s="427">
        <f t="shared" si="83"/>
        <v>80.041499999999999</v>
      </c>
      <c r="G209" s="427">
        <f t="shared" si="83"/>
        <v>117.16200000000001</v>
      </c>
      <c r="H209" s="427">
        <f t="shared" si="83"/>
        <v>160.47</v>
      </c>
      <c r="I209" s="427">
        <f t="shared" si="83"/>
        <v>210.6</v>
      </c>
    </row>
    <row r="210" spans="1:9">
      <c r="A210" s="393"/>
      <c r="B210" s="336" t="s">
        <v>689</v>
      </c>
      <c r="C210" s="342">
        <f>+C179*C203/100000</f>
        <v>22</v>
      </c>
      <c r="D210" s="342">
        <f t="shared" ref="D210:I210" si="84">+D179*D203/100000</f>
        <v>48.51</v>
      </c>
      <c r="E210" s="342">
        <f t="shared" si="84"/>
        <v>80.041499999999999</v>
      </c>
      <c r="F210" s="342">
        <f t="shared" si="84"/>
        <v>117.16200000000001</v>
      </c>
      <c r="G210" s="342">
        <f t="shared" si="84"/>
        <v>160.47</v>
      </c>
      <c r="H210" s="342">
        <f t="shared" si="84"/>
        <v>210.6</v>
      </c>
      <c r="I210" s="342">
        <f t="shared" si="84"/>
        <v>268.31349999999998</v>
      </c>
    </row>
    <row r="211" spans="1:9">
      <c r="A211" s="393"/>
      <c r="B211" s="321"/>
      <c r="C211" s="321"/>
      <c r="D211" s="346"/>
      <c r="E211" s="346"/>
      <c r="F211" s="346"/>
      <c r="G211" s="346"/>
      <c r="H211" s="346"/>
      <c r="I211" s="346"/>
    </row>
    <row r="212" spans="1:9">
      <c r="A212" s="646" t="s">
        <v>169</v>
      </c>
      <c r="B212" s="322" t="str">
        <f>B183</f>
        <v xml:space="preserve">Husk </v>
      </c>
      <c r="C212" s="321"/>
      <c r="D212" s="346"/>
      <c r="E212" s="346"/>
      <c r="F212" s="346"/>
      <c r="G212" s="346"/>
      <c r="H212" s="346"/>
      <c r="I212" s="346"/>
    </row>
    <row r="213" spans="1:9">
      <c r="A213" s="393"/>
      <c r="B213" s="336" t="s">
        <v>688</v>
      </c>
      <c r="C213" s="342">
        <v>0</v>
      </c>
      <c r="D213" s="427">
        <f t="shared" ref="D213:I213" si="85">C214</f>
        <v>0.4</v>
      </c>
      <c r="E213" s="427">
        <f t="shared" si="85"/>
        <v>0.88200000000000001</v>
      </c>
      <c r="F213" s="427">
        <f t="shared" si="85"/>
        <v>1.4585999999999999</v>
      </c>
      <c r="G213" s="427">
        <f t="shared" si="85"/>
        <v>2.1343999999999999</v>
      </c>
      <c r="H213" s="427">
        <f t="shared" si="85"/>
        <v>2.9279999999999999</v>
      </c>
      <c r="I213" s="427">
        <f t="shared" si="85"/>
        <v>3.84</v>
      </c>
    </row>
    <row r="214" spans="1:9">
      <c r="A214" s="393"/>
      <c r="B214" s="336" t="s">
        <v>689</v>
      </c>
      <c r="C214" s="342">
        <f t="shared" ref="C214:I214" si="86">C204*C187/100000</f>
        <v>0.4</v>
      </c>
      <c r="D214" s="427">
        <f t="shared" si="86"/>
        <v>0.88200000000000001</v>
      </c>
      <c r="E214" s="427">
        <f t="shared" si="86"/>
        <v>1.4585999999999999</v>
      </c>
      <c r="F214" s="427">
        <f t="shared" si="86"/>
        <v>2.1343999999999999</v>
      </c>
      <c r="G214" s="427">
        <f t="shared" si="86"/>
        <v>2.9279999999999999</v>
      </c>
      <c r="H214" s="427">
        <f t="shared" si="86"/>
        <v>3.84</v>
      </c>
      <c r="I214" s="427">
        <f t="shared" si="86"/>
        <v>4.8958000000000004</v>
      </c>
    </row>
    <row r="215" spans="1:9">
      <c r="A215" s="393"/>
      <c r="B215" s="321"/>
      <c r="C215" s="321"/>
      <c r="D215" s="346"/>
      <c r="E215" s="346"/>
      <c r="F215" s="346"/>
      <c r="G215" s="346"/>
      <c r="H215" s="346"/>
      <c r="I215" s="346"/>
    </row>
    <row r="216" spans="1:9">
      <c r="A216" s="646" t="s">
        <v>170</v>
      </c>
      <c r="B216" s="322" t="str">
        <f>B189</f>
        <v>Boken</v>
      </c>
      <c r="C216" s="321"/>
      <c r="D216" s="346"/>
      <c r="E216" s="346"/>
      <c r="F216" s="346"/>
      <c r="G216" s="346"/>
      <c r="H216" s="346"/>
      <c r="I216" s="346"/>
    </row>
    <row r="217" spans="1:9">
      <c r="A217" s="393"/>
      <c r="B217" s="336" t="s">
        <v>688</v>
      </c>
      <c r="C217" s="342">
        <v>0</v>
      </c>
      <c r="D217" s="427">
        <f t="shared" ref="D217:I217" si="87">C218</f>
        <v>3.4</v>
      </c>
      <c r="E217" s="427">
        <f t="shared" si="87"/>
        <v>7.4969999999999999</v>
      </c>
      <c r="F217" s="427">
        <f t="shared" si="87"/>
        <v>12.368399999999999</v>
      </c>
      <c r="G217" s="427">
        <f t="shared" si="87"/>
        <v>18.105599999999999</v>
      </c>
      <c r="H217" s="427">
        <f t="shared" si="87"/>
        <v>24.792000000000002</v>
      </c>
      <c r="I217" s="427">
        <f t="shared" si="87"/>
        <v>32.534999999999997</v>
      </c>
    </row>
    <row r="218" spans="1:9">
      <c r="A218" s="393"/>
      <c r="B218" s="336" t="s">
        <v>689</v>
      </c>
      <c r="C218" s="342">
        <f>C205*C193/100000</f>
        <v>3.4</v>
      </c>
      <c r="D218" s="427">
        <f t="shared" ref="D218:I218" si="88">D205*D193/100000</f>
        <v>7.4969999999999999</v>
      </c>
      <c r="E218" s="427">
        <f t="shared" si="88"/>
        <v>12.368399999999999</v>
      </c>
      <c r="F218" s="427">
        <f t="shared" si="88"/>
        <v>18.105599999999999</v>
      </c>
      <c r="G218" s="427">
        <f t="shared" si="88"/>
        <v>24.792000000000002</v>
      </c>
      <c r="H218" s="427">
        <f t="shared" si="88"/>
        <v>32.534999999999997</v>
      </c>
      <c r="I218" s="427">
        <f t="shared" si="88"/>
        <v>41.441400000000002</v>
      </c>
    </row>
    <row r="219" spans="1:9">
      <c r="A219" s="393"/>
      <c r="B219" s="336"/>
      <c r="C219" s="342"/>
      <c r="D219" s="427"/>
      <c r="E219" s="427"/>
      <c r="F219" s="427"/>
      <c r="G219" s="427"/>
      <c r="H219" s="427"/>
      <c r="I219" s="427"/>
    </row>
    <row r="220" spans="1:9">
      <c r="A220" s="393"/>
      <c r="B220" s="630" t="str">
        <f>+'Input Sheet'!B32</f>
        <v>Bran</v>
      </c>
      <c r="C220" s="321"/>
      <c r="D220" s="346"/>
      <c r="E220" s="346"/>
      <c r="F220" s="346"/>
      <c r="G220" s="346"/>
      <c r="H220" s="346"/>
      <c r="I220" s="346"/>
    </row>
    <row r="221" spans="1:9">
      <c r="A221" s="393"/>
      <c r="B221" s="336" t="s">
        <v>688</v>
      </c>
      <c r="C221" s="342">
        <v>0</v>
      </c>
      <c r="D221" s="427">
        <f t="shared" ref="D221" si="89">C222</f>
        <v>0.64</v>
      </c>
      <c r="E221" s="427">
        <f t="shared" ref="E221" si="90">D222</f>
        <v>1.4104999999999996</v>
      </c>
      <c r="F221" s="427">
        <f t="shared" ref="F221" si="91">E222</f>
        <v>2.3262749999999999</v>
      </c>
      <c r="G221" s="427">
        <f t="shared" ref="G221" si="92">F222</f>
        <v>3.406908333333333</v>
      </c>
      <c r="H221" s="427">
        <f t="shared" ref="H221" si="93">G222</f>
        <v>4.6656000000000004</v>
      </c>
      <c r="I221" s="427">
        <f t="shared" ref="I221" si="94">H222</f>
        <v>6.1260000000000003</v>
      </c>
    </row>
    <row r="222" spans="1:9">
      <c r="A222" s="393"/>
      <c r="B222" s="336" t="s">
        <v>689</v>
      </c>
      <c r="C222" s="342">
        <f>C206*C199/100000</f>
        <v>0.64</v>
      </c>
      <c r="D222" s="342">
        <f t="shared" ref="D222:I222" si="95">D206*D199/100000</f>
        <v>1.4104999999999996</v>
      </c>
      <c r="E222" s="342">
        <f t="shared" si="95"/>
        <v>2.3262749999999999</v>
      </c>
      <c r="F222" s="342">
        <f t="shared" si="95"/>
        <v>3.406908333333333</v>
      </c>
      <c r="G222" s="342">
        <f t="shared" si="95"/>
        <v>4.6656000000000004</v>
      </c>
      <c r="H222" s="342">
        <f t="shared" si="95"/>
        <v>6.1260000000000003</v>
      </c>
      <c r="I222" s="342">
        <f t="shared" si="95"/>
        <v>7.8032666666666675</v>
      </c>
    </row>
    <row r="223" spans="1:9">
      <c r="A223" s="393"/>
      <c r="B223" s="336"/>
      <c r="C223" s="342"/>
      <c r="D223" s="342"/>
      <c r="E223" s="342"/>
      <c r="F223" s="342"/>
      <c r="G223" s="342"/>
      <c r="H223" s="342"/>
      <c r="I223" s="342"/>
    </row>
    <row r="224" spans="1:9">
      <c r="A224" s="393"/>
      <c r="B224" s="336"/>
      <c r="C224" s="342"/>
      <c r="D224" s="342"/>
      <c r="E224" s="342"/>
      <c r="F224" s="342"/>
      <c r="G224" s="342"/>
      <c r="H224" s="342"/>
      <c r="I224" s="342"/>
    </row>
    <row r="225" spans="1:10">
      <c r="A225" s="393"/>
      <c r="B225" s="322" t="s">
        <v>690</v>
      </c>
      <c r="C225" s="321"/>
      <c r="D225" s="346"/>
      <c r="E225" s="346"/>
      <c r="F225" s="346"/>
      <c r="G225" s="346"/>
      <c r="H225" s="346"/>
      <c r="I225" s="346"/>
    </row>
    <row r="226" spans="1:10">
      <c r="A226" s="393"/>
      <c r="B226" s="320" t="s">
        <v>688</v>
      </c>
      <c r="C226" s="343">
        <f>+C209+C213+C217+C221</f>
        <v>0</v>
      </c>
      <c r="D226" s="428">
        <f>+C227</f>
        <v>26.439999999999998</v>
      </c>
      <c r="E226" s="428">
        <f t="shared" ref="E226:I226" si="96">+D227</f>
        <v>58.299499999999995</v>
      </c>
      <c r="F226" s="428">
        <f t="shared" si="96"/>
        <v>96.194774999999993</v>
      </c>
      <c r="G226" s="428">
        <f t="shared" si="96"/>
        <v>140.80890833333333</v>
      </c>
      <c r="H226" s="428">
        <f t="shared" si="96"/>
        <v>192.85560000000001</v>
      </c>
      <c r="I226" s="428">
        <f t="shared" si="96"/>
        <v>253.101</v>
      </c>
    </row>
    <row r="227" spans="1:10">
      <c r="A227" s="393"/>
      <c r="B227" s="320" t="s">
        <v>689</v>
      </c>
      <c r="C227" s="343">
        <f>+C210+C214+C218+C222</f>
        <v>26.439999999999998</v>
      </c>
      <c r="D227" s="343">
        <f t="shared" ref="D227:I227" si="97">+D210+D214+D218+D222</f>
        <v>58.299499999999995</v>
      </c>
      <c r="E227" s="343">
        <f t="shared" si="97"/>
        <v>96.194774999999993</v>
      </c>
      <c r="F227" s="343">
        <f t="shared" si="97"/>
        <v>140.80890833333333</v>
      </c>
      <c r="G227" s="343">
        <f t="shared" si="97"/>
        <v>192.85560000000001</v>
      </c>
      <c r="H227" s="343">
        <f t="shared" si="97"/>
        <v>253.101</v>
      </c>
      <c r="I227" s="343">
        <f t="shared" si="97"/>
        <v>322.45396666666664</v>
      </c>
    </row>
    <row r="231" spans="1:10" ht="54" hidden="1">
      <c r="A231" s="665" t="s">
        <v>693</v>
      </c>
      <c r="B231" s="539"/>
      <c r="C231" s="539"/>
      <c r="D231" s="539"/>
      <c r="E231" s="539"/>
      <c r="F231" s="539"/>
      <c r="G231" s="540"/>
      <c r="H231" s="540"/>
    </row>
    <row r="232" spans="1:10" ht="15.75" hidden="1">
      <c r="A232" s="666"/>
      <c r="B232" s="348"/>
      <c r="C232" s="349"/>
      <c r="D232" s="430"/>
      <c r="E232" s="430"/>
      <c r="F232" s="430"/>
      <c r="G232" s="430"/>
      <c r="H232" s="430"/>
    </row>
    <row r="233" spans="1:10" hidden="1">
      <c r="A233" s="333" t="s">
        <v>876</v>
      </c>
      <c r="B233" s="575">
        <f>+'Input Sheet'!C165</f>
        <v>0</v>
      </c>
      <c r="C233" s="351"/>
      <c r="D233" s="431"/>
      <c r="E233" s="431"/>
      <c r="F233" s="431"/>
      <c r="G233" s="431"/>
      <c r="H233" s="431"/>
      <c r="J233" s="365">
        <v>6</v>
      </c>
    </row>
    <row r="234" spans="1:10" hidden="1">
      <c r="A234" s="333" t="s">
        <v>695</v>
      </c>
      <c r="B234" s="575">
        <v>0</v>
      </c>
      <c r="C234" s="351"/>
      <c r="D234" s="431"/>
      <c r="E234" s="431"/>
      <c r="F234" s="431"/>
      <c r="G234" s="431"/>
      <c r="H234" s="431"/>
    </row>
    <row r="235" spans="1:10" hidden="1">
      <c r="A235" s="333" t="s">
        <v>696</v>
      </c>
      <c r="B235" s="575">
        <v>0</v>
      </c>
      <c r="C235" s="351"/>
      <c r="D235" s="431"/>
      <c r="E235" s="431"/>
      <c r="F235" s="431"/>
      <c r="G235" s="431"/>
      <c r="H235" s="431"/>
    </row>
    <row r="236" spans="1:10" hidden="1">
      <c r="A236" s="333" t="s">
        <v>697</v>
      </c>
      <c r="B236" s="350" t="e">
        <f>B233*B235*30/B234</f>
        <v>#DIV/0!</v>
      </c>
      <c r="C236" s="351"/>
      <c r="D236" s="431"/>
      <c r="E236" s="431"/>
      <c r="F236" s="431"/>
      <c r="G236" s="431"/>
      <c r="H236" s="431"/>
    </row>
    <row r="237" spans="1:10" hidden="1">
      <c r="A237" s="333" t="s">
        <v>704</v>
      </c>
      <c r="B237" s="576">
        <f>+'Input Sheet'!C168</f>
        <v>0</v>
      </c>
      <c r="C237" s="351"/>
      <c r="D237" s="431"/>
      <c r="E237" s="431"/>
      <c r="F237" s="431"/>
      <c r="G237" s="431"/>
      <c r="H237" s="431"/>
    </row>
    <row r="238" spans="1:10" ht="30" hidden="1">
      <c r="A238" s="596" t="s">
        <v>873</v>
      </c>
      <c r="B238" s="354" t="e">
        <f>+B236*B237*10/100000</f>
        <v>#DIV/0!</v>
      </c>
      <c r="C238" s="351"/>
      <c r="D238" s="431"/>
      <c r="E238" s="431"/>
      <c r="F238" s="431"/>
      <c r="G238" s="431"/>
      <c r="H238" s="431"/>
    </row>
    <row r="239" spans="1:10" hidden="1">
      <c r="A239" s="333"/>
      <c r="B239" s="577"/>
      <c r="C239" s="578"/>
      <c r="D239" s="431"/>
      <c r="E239" s="431"/>
      <c r="F239" s="431"/>
      <c r="G239" s="431"/>
      <c r="H239" s="431"/>
    </row>
    <row r="240" spans="1:10" hidden="1">
      <c r="A240" s="333"/>
      <c r="B240" s="352"/>
      <c r="C240" s="355"/>
      <c r="D240" s="432"/>
      <c r="E240" s="432"/>
      <c r="F240" s="432"/>
      <c r="G240" s="432"/>
      <c r="H240" s="432"/>
    </row>
    <row r="241" spans="1:11" hidden="1">
      <c r="A241" s="49" t="s">
        <v>0</v>
      </c>
      <c r="B241" s="122" t="s">
        <v>2</v>
      </c>
      <c r="C241" s="122" t="s">
        <v>3</v>
      </c>
      <c r="D241" s="122" t="s">
        <v>4</v>
      </c>
      <c r="E241" s="122" t="s">
        <v>5</v>
      </c>
      <c r="F241" s="122" t="s">
        <v>6</v>
      </c>
      <c r="G241" s="122" t="s">
        <v>164</v>
      </c>
      <c r="H241" s="122" t="s">
        <v>163</v>
      </c>
    </row>
    <row r="242" spans="1:11" hidden="1">
      <c r="A242" s="667" t="s">
        <v>698</v>
      </c>
      <c r="B242" s="356"/>
      <c r="C242" s="356"/>
      <c r="D242" s="433"/>
      <c r="E242" s="433"/>
      <c r="F242" s="433"/>
      <c r="G242" s="433"/>
      <c r="H242" s="433"/>
    </row>
    <row r="243" spans="1:11" hidden="1">
      <c r="A243" s="668" t="s">
        <v>699</v>
      </c>
      <c r="B243" s="356" t="e">
        <f>+$B$238</f>
        <v>#DIV/0!</v>
      </c>
      <c r="C243" s="356" t="e">
        <f>+B243</f>
        <v>#DIV/0!</v>
      </c>
      <c r="D243" s="356" t="e">
        <f t="shared" ref="D243:H243" si="98">+C243</f>
        <v>#DIV/0!</v>
      </c>
      <c r="E243" s="356" t="e">
        <f t="shared" si="98"/>
        <v>#DIV/0!</v>
      </c>
      <c r="F243" s="356" t="e">
        <f t="shared" si="98"/>
        <v>#DIV/0!</v>
      </c>
      <c r="G243" s="356" t="e">
        <f t="shared" si="98"/>
        <v>#DIV/0!</v>
      </c>
      <c r="H243" s="356" t="e">
        <f t="shared" si="98"/>
        <v>#DIV/0!</v>
      </c>
    </row>
    <row r="244" spans="1:11" hidden="1">
      <c r="A244" s="668" t="s">
        <v>292</v>
      </c>
      <c r="B244" s="358">
        <f>+'Input Sheet'!C170</f>
        <v>0.55000000000000004</v>
      </c>
      <c r="C244" s="358">
        <f>+'Input Sheet'!D170</f>
        <v>0.60000000000000009</v>
      </c>
      <c r="D244" s="358">
        <f>+'Input Sheet'!E170</f>
        <v>0.65000000000000013</v>
      </c>
      <c r="E244" s="358">
        <f>+'Input Sheet'!F170</f>
        <v>0.70000000000000018</v>
      </c>
      <c r="F244" s="358">
        <f>+'Input Sheet'!G170</f>
        <v>0.75000000000000022</v>
      </c>
      <c r="G244" s="358">
        <f>+'Input Sheet'!H170</f>
        <v>0.80000000000000027</v>
      </c>
      <c r="H244" s="358">
        <f>+'Input Sheet'!I170</f>
        <v>0.85000000000000031</v>
      </c>
    </row>
    <row r="245" spans="1:11" hidden="1">
      <c r="A245" s="668" t="s">
        <v>700</v>
      </c>
      <c r="B245" s="359" t="e">
        <f t="shared" ref="B245:H245" si="99">+$B$236*B244</f>
        <v>#DIV/0!</v>
      </c>
      <c r="C245" s="359" t="e">
        <f t="shared" si="99"/>
        <v>#DIV/0!</v>
      </c>
      <c r="D245" s="435" t="e">
        <f t="shared" si="99"/>
        <v>#DIV/0!</v>
      </c>
      <c r="E245" s="435" t="e">
        <f t="shared" si="99"/>
        <v>#DIV/0!</v>
      </c>
      <c r="F245" s="435" t="e">
        <f t="shared" si="99"/>
        <v>#DIV/0!</v>
      </c>
      <c r="G245" s="435" t="e">
        <f t="shared" si="99"/>
        <v>#DIV/0!</v>
      </c>
      <c r="H245" s="435" t="e">
        <f t="shared" si="99"/>
        <v>#DIV/0!</v>
      </c>
    </row>
    <row r="246" spans="1:11" hidden="1">
      <c r="A246" s="668" t="s">
        <v>701</v>
      </c>
      <c r="B246" s="359">
        <f t="shared" ref="B246:H246" si="100">+B40+B45+B50+B55+B60</f>
        <v>1200</v>
      </c>
      <c r="C246" s="359">
        <f t="shared" si="100"/>
        <v>1320</v>
      </c>
      <c r="D246" s="435">
        <f t="shared" si="100"/>
        <v>1440</v>
      </c>
      <c r="E246" s="435">
        <f t="shared" si="100"/>
        <v>1560</v>
      </c>
      <c r="F246" s="435">
        <f t="shared" si="100"/>
        <v>1680</v>
      </c>
      <c r="G246" s="435">
        <f t="shared" si="100"/>
        <v>1800</v>
      </c>
      <c r="H246" s="435">
        <f t="shared" si="100"/>
        <v>1920</v>
      </c>
    </row>
    <row r="247" spans="1:11" hidden="1">
      <c r="A247" s="668" t="s">
        <v>702</v>
      </c>
      <c r="B247" s="359" t="e">
        <f t="shared" ref="B247:H247" si="101">+B245-B246</f>
        <v>#DIV/0!</v>
      </c>
      <c r="C247" s="359" t="e">
        <f t="shared" si="101"/>
        <v>#DIV/0!</v>
      </c>
      <c r="D247" s="435" t="e">
        <f t="shared" si="101"/>
        <v>#DIV/0!</v>
      </c>
      <c r="E247" s="435" t="e">
        <f t="shared" si="101"/>
        <v>#DIV/0!</v>
      </c>
      <c r="F247" s="435" t="e">
        <f t="shared" si="101"/>
        <v>#DIV/0!</v>
      </c>
      <c r="G247" s="435" t="e">
        <f t="shared" si="101"/>
        <v>#DIV/0!</v>
      </c>
      <c r="H247" s="435" t="e">
        <f t="shared" si="101"/>
        <v>#DIV/0!</v>
      </c>
    </row>
    <row r="248" spans="1:11" hidden="1">
      <c r="A248" s="668"/>
      <c r="B248" s="358"/>
      <c r="C248" s="358"/>
      <c r="D248" s="434"/>
      <c r="E248" s="434"/>
      <c r="F248" s="434"/>
      <c r="G248" s="434"/>
      <c r="H248" s="434"/>
    </row>
    <row r="249" spans="1:11" hidden="1">
      <c r="A249" s="669" t="s">
        <v>703</v>
      </c>
      <c r="B249" s="360" t="e">
        <f t="shared" ref="B249:H249" si="102">+B243*B247/$B$236</f>
        <v>#DIV/0!</v>
      </c>
      <c r="C249" s="360" t="e">
        <f t="shared" si="102"/>
        <v>#DIV/0!</v>
      </c>
      <c r="D249" s="360" t="e">
        <f t="shared" si="102"/>
        <v>#DIV/0!</v>
      </c>
      <c r="E249" s="360" t="e">
        <f t="shared" si="102"/>
        <v>#DIV/0!</v>
      </c>
      <c r="F249" s="360" t="e">
        <f t="shared" si="102"/>
        <v>#DIV/0!</v>
      </c>
      <c r="G249" s="360" t="e">
        <f t="shared" si="102"/>
        <v>#DIV/0!</v>
      </c>
      <c r="H249" s="360" t="e">
        <f t="shared" si="102"/>
        <v>#DIV/0!</v>
      </c>
    </row>
    <row r="250" spans="1:11" hidden="1">
      <c r="A250" s="668"/>
      <c r="B250" s="360"/>
      <c r="C250" s="360"/>
      <c r="D250" s="419"/>
      <c r="E250" s="419"/>
      <c r="F250" s="419"/>
      <c r="G250" s="419"/>
      <c r="H250" s="419"/>
    </row>
    <row r="251" spans="1:11" hidden="1">
      <c r="A251" s="667" t="s">
        <v>8</v>
      </c>
      <c r="B251" s="335" t="e">
        <f t="shared" ref="B251:H251" si="103">SUM(B249:B250)</f>
        <v>#DIV/0!</v>
      </c>
      <c r="C251" s="335" t="e">
        <f t="shared" si="103"/>
        <v>#DIV/0!</v>
      </c>
      <c r="D251" s="420" t="e">
        <f t="shared" si="103"/>
        <v>#DIV/0!</v>
      </c>
      <c r="E251" s="420" t="e">
        <f t="shared" si="103"/>
        <v>#DIV/0!</v>
      </c>
      <c r="F251" s="420" t="e">
        <f t="shared" si="103"/>
        <v>#DIV/0!</v>
      </c>
      <c r="G251" s="420" t="e">
        <f t="shared" si="103"/>
        <v>#DIV/0!</v>
      </c>
      <c r="H251" s="420" t="e">
        <f t="shared" si="103"/>
        <v>#DIV/0!</v>
      </c>
    </row>
    <row r="255" spans="1:11" ht="28.5">
      <c r="A255" s="670" t="s">
        <v>758</v>
      </c>
    </row>
    <row r="256" spans="1:11">
      <c r="A256" s="671" t="s">
        <v>0</v>
      </c>
      <c r="B256" s="542" t="s">
        <v>2</v>
      </c>
      <c r="C256" s="542" t="s">
        <v>3</v>
      </c>
      <c r="D256" s="543" t="s">
        <v>4</v>
      </c>
      <c r="E256" s="543" t="s">
        <v>5</v>
      </c>
      <c r="F256" s="543" t="s">
        <v>6</v>
      </c>
      <c r="G256" s="543" t="s">
        <v>164</v>
      </c>
      <c r="H256" s="543" t="s">
        <v>163</v>
      </c>
      <c r="I256" s="544"/>
      <c r="J256" s="436">
        <v>2</v>
      </c>
      <c r="K256" s="403"/>
    </row>
    <row r="257" spans="1:11">
      <c r="A257" s="651"/>
      <c r="B257" s="331"/>
      <c r="C257" s="331"/>
      <c r="D257" s="418"/>
      <c r="E257" s="418"/>
      <c r="F257" s="418"/>
      <c r="G257" s="418"/>
      <c r="H257" s="418"/>
      <c r="I257" s="437"/>
      <c r="J257" s="437"/>
      <c r="K257" s="251"/>
    </row>
    <row r="258" spans="1:11">
      <c r="A258" s="395" t="str">
        <f>+A290</f>
        <v>Paddy</v>
      </c>
      <c r="B258" s="337">
        <f t="shared" ref="B258:H258" si="104">+B292</f>
        <v>2440</v>
      </c>
      <c r="C258" s="337">
        <f t="shared" si="104"/>
        <v>2640</v>
      </c>
      <c r="D258" s="389">
        <f t="shared" si="104"/>
        <v>2880</v>
      </c>
      <c r="E258" s="389">
        <f t="shared" si="104"/>
        <v>3120</v>
      </c>
      <c r="F258" s="389">
        <f t="shared" si="104"/>
        <v>3360</v>
      </c>
      <c r="G258" s="389">
        <f t="shared" si="104"/>
        <v>3600</v>
      </c>
      <c r="H258" s="389">
        <f t="shared" si="104"/>
        <v>3840</v>
      </c>
      <c r="I258" s="438"/>
      <c r="J258" s="438"/>
      <c r="K258" s="404"/>
    </row>
    <row r="259" spans="1:11">
      <c r="A259" s="395" t="s">
        <v>755</v>
      </c>
      <c r="B259" s="342">
        <f t="shared" ref="B259:H259" si="105">+B297</f>
        <v>23200</v>
      </c>
      <c r="C259" s="342">
        <f t="shared" si="105"/>
        <v>24360</v>
      </c>
      <c r="D259" s="427">
        <f t="shared" si="105"/>
        <v>25580</v>
      </c>
      <c r="E259" s="427">
        <f t="shared" si="105"/>
        <v>26860</v>
      </c>
      <c r="F259" s="427">
        <f t="shared" si="105"/>
        <v>28200</v>
      </c>
      <c r="G259" s="427">
        <f t="shared" si="105"/>
        <v>29610</v>
      </c>
      <c r="H259" s="427">
        <f t="shared" si="105"/>
        <v>31090</v>
      </c>
      <c r="I259" s="439"/>
      <c r="J259" s="439"/>
      <c r="K259" s="405"/>
    </row>
    <row r="260" spans="1:11">
      <c r="A260" s="395"/>
      <c r="B260" s="342"/>
      <c r="C260" s="342"/>
      <c r="D260" s="427"/>
      <c r="E260" s="427"/>
      <c r="F260" s="427"/>
      <c r="G260" s="427"/>
      <c r="H260" s="427"/>
      <c r="I260" s="439"/>
      <c r="J260" s="439"/>
      <c r="K260" s="405"/>
    </row>
    <row r="261" spans="1:11">
      <c r="A261" s="395" t="s">
        <v>756</v>
      </c>
      <c r="B261" s="342">
        <f t="shared" ref="B261:H261" si="106">+ROUND(B258*B259/100000,2)</f>
        <v>566.08000000000004</v>
      </c>
      <c r="C261" s="342">
        <f t="shared" si="106"/>
        <v>643.1</v>
      </c>
      <c r="D261" s="427">
        <f t="shared" si="106"/>
        <v>736.7</v>
      </c>
      <c r="E261" s="427">
        <f t="shared" si="106"/>
        <v>838.03</v>
      </c>
      <c r="F261" s="427">
        <f t="shared" si="106"/>
        <v>947.52</v>
      </c>
      <c r="G261" s="427">
        <f t="shared" si="106"/>
        <v>1065.96</v>
      </c>
      <c r="H261" s="427">
        <f t="shared" si="106"/>
        <v>1193.8599999999999</v>
      </c>
      <c r="I261" s="439"/>
      <c r="J261" s="439"/>
      <c r="K261" s="405"/>
    </row>
    <row r="262" spans="1:11">
      <c r="A262" s="395"/>
      <c r="B262" s="342"/>
      <c r="C262" s="342"/>
      <c r="D262" s="427"/>
      <c r="E262" s="427"/>
      <c r="F262" s="427"/>
      <c r="G262" s="427"/>
      <c r="H262" s="427"/>
      <c r="I262" s="439"/>
      <c r="J262" s="439"/>
      <c r="K262" s="405"/>
    </row>
    <row r="263" spans="1:11" hidden="1">
      <c r="A263" s="395" t="str">
        <f>+A303</f>
        <v>Moong</v>
      </c>
      <c r="B263" s="337">
        <f t="shared" ref="B263:H263" si="107">+B305</f>
        <v>0</v>
      </c>
      <c r="C263" s="337">
        <f t="shared" si="107"/>
        <v>0</v>
      </c>
      <c r="D263" s="389">
        <f t="shared" si="107"/>
        <v>0</v>
      </c>
      <c r="E263" s="389">
        <f t="shared" si="107"/>
        <v>0</v>
      </c>
      <c r="F263" s="389">
        <f t="shared" si="107"/>
        <v>0</v>
      </c>
      <c r="G263" s="389">
        <f t="shared" si="107"/>
        <v>0</v>
      </c>
      <c r="H263" s="389">
        <f t="shared" si="107"/>
        <v>0</v>
      </c>
      <c r="I263" s="438"/>
      <c r="J263" s="438"/>
      <c r="K263" s="406"/>
    </row>
    <row r="264" spans="1:11" hidden="1">
      <c r="A264" s="395" t="s">
        <v>755</v>
      </c>
      <c r="B264" s="342">
        <f t="shared" ref="B264:H264" si="108">+B310</f>
        <v>0</v>
      </c>
      <c r="C264" s="342">
        <f t="shared" si="108"/>
        <v>0</v>
      </c>
      <c r="D264" s="427">
        <f t="shared" si="108"/>
        <v>0</v>
      </c>
      <c r="E264" s="427">
        <f t="shared" si="108"/>
        <v>0</v>
      </c>
      <c r="F264" s="427">
        <f t="shared" si="108"/>
        <v>0</v>
      </c>
      <c r="G264" s="427">
        <f t="shared" si="108"/>
        <v>0</v>
      </c>
      <c r="H264" s="427">
        <f t="shared" si="108"/>
        <v>0</v>
      </c>
      <c r="I264" s="439"/>
      <c r="J264" s="439"/>
      <c r="K264" s="405"/>
    </row>
    <row r="265" spans="1:11" hidden="1">
      <c r="A265" s="395"/>
      <c r="B265" s="342"/>
      <c r="C265" s="342"/>
      <c r="D265" s="427"/>
      <c r="E265" s="427"/>
      <c r="F265" s="427"/>
      <c r="G265" s="427"/>
      <c r="H265" s="427"/>
      <c r="I265" s="439"/>
      <c r="J265" s="439"/>
      <c r="K265" s="405"/>
    </row>
    <row r="266" spans="1:11" hidden="1">
      <c r="A266" s="395" t="s">
        <v>756</v>
      </c>
      <c r="B266" s="342">
        <f t="shared" ref="B266:H266" si="109">+ROUND(B263*B264/100000,2)</f>
        <v>0</v>
      </c>
      <c r="C266" s="342">
        <f t="shared" si="109"/>
        <v>0</v>
      </c>
      <c r="D266" s="427">
        <f t="shared" si="109"/>
        <v>0</v>
      </c>
      <c r="E266" s="427">
        <f t="shared" si="109"/>
        <v>0</v>
      </c>
      <c r="F266" s="427">
        <f t="shared" si="109"/>
        <v>0</v>
      </c>
      <c r="G266" s="427">
        <f t="shared" si="109"/>
        <v>0</v>
      </c>
      <c r="H266" s="427">
        <f t="shared" si="109"/>
        <v>0</v>
      </c>
      <c r="I266" s="439"/>
      <c r="J266" s="439"/>
      <c r="K266" s="405"/>
    </row>
    <row r="267" spans="1:11" hidden="1">
      <c r="A267" s="395"/>
      <c r="B267" s="342"/>
      <c r="C267" s="342"/>
      <c r="D267" s="427"/>
      <c r="E267" s="427"/>
      <c r="F267" s="427"/>
      <c r="G267" s="427"/>
      <c r="H267" s="427"/>
      <c r="I267" s="439"/>
      <c r="J267" s="439"/>
      <c r="K267" s="405"/>
    </row>
    <row r="268" spans="1:11" hidden="1">
      <c r="A268" s="395" t="str">
        <f>+A315</f>
        <v>Udad</v>
      </c>
      <c r="B268" s="337">
        <f t="shared" ref="B268:H268" si="110">+B317</f>
        <v>0</v>
      </c>
      <c r="C268" s="337">
        <f t="shared" si="110"/>
        <v>0</v>
      </c>
      <c r="D268" s="389">
        <f t="shared" si="110"/>
        <v>0</v>
      </c>
      <c r="E268" s="389">
        <f t="shared" si="110"/>
        <v>0</v>
      </c>
      <c r="F268" s="389">
        <f t="shared" si="110"/>
        <v>0</v>
      </c>
      <c r="G268" s="389">
        <f t="shared" si="110"/>
        <v>0</v>
      </c>
      <c r="H268" s="389">
        <f t="shared" si="110"/>
        <v>0</v>
      </c>
      <c r="I268" s="438"/>
      <c r="J268" s="438"/>
      <c r="K268" s="406"/>
    </row>
    <row r="269" spans="1:11" hidden="1">
      <c r="A269" s="395" t="s">
        <v>755</v>
      </c>
      <c r="B269" s="342">
        <f t="shared" ref="B269:H269" si="111">+B322</f>
        <v>0</v>
      </c>
      <c r="C269" s="342">
        <f t="shared" si="111"/>
        <v>0</v>
      </c>
      <c r="D269" s="427">
        <f t="shared" si="111"/>
        <v>0</v>
      </c>
      <c r="E269" s="427">
        <f t="shared" si="111"/>
        <v>0</v>
      </c>
      <c r="F269" s="427">
        <f t="shared" si="111"/>
        <v>0</v>
      </c>
      <c r="G269" s="427">
        <f t="shared" si="111"/>
        <v>0</v>
      </c>
      <c r="H269" s="427">
        <f t="shared" si="111"/>
        <v>0</v>
      </c>
      <c r="I269" s="439"/>
      <c r="J269" s="439"/>
      <c r="K269" s="405"/>
    </row>
    <row r="270" spans="1:11" hidden="1">
      <c r="A270" s="395"/>
      <c r="B270" s="342"/>
      <c r="C270" s="342"/>
      <c r="D270" s="427"/>
      <c r="E270" s="427"/>
      <c r="F270" s="427"/>
      <c r="G270" s="427"/>
      <c r="H270" s="427"/>
      <c r="I270" s="439"/>
      <c r="J270" s="439"/>
      <c r="K270" s="405"/>
    </row>
    <row r="271" spans="1:11" hidden="1">
      <c r="A271" s="395" t="s">
        <v>756</v>
      </c>
      <c r="B271" s="342">
        <f t="shared" ref="B271:H271" si="112">+ROUND(B268*B269/100000,2)</f>
        <v>0</v>
      </c>
      <c r="C271" s="342">
        <f t="shared" si="112"/>
        <v>0</v>
      </c>
      <c r="D271" s="427">
        <f t="shared" si="112"/>
        <v>0</v>
      </c>
      <c r="E271" s="427">
        <f t="shared" si="112"/>
        <v>0</v>
      </c>
      <c r="F271" s="427">
        <f t="shared" si="112"/>
        <v>0</v>
      </c>
      <c r="G271" s="427">
        <f t="shared" si="112"/>
        <v>0</v>
      </c>
      <c r="H271" s="427">
        <f t="shared" si="112"/>
        <v>0</v>
      </c>
      <c r="I271" s="439"/>
      <c r="J271" s="439"/>
      <c r="K271" s="405"/>
    </row>
    <row r="272" spans="1:11" hidden="1">
      <c r="A272" s="395"/>
      <c r="B272" s="342"/>
      <c r="C272" s="342"/>
      <c r="D272" s="427"/>
      <c r="E272" s="427"/>
      <c r="F272" s="427"/>
      <c r="G272" s="427"/>
      <c r="H272" s="427"/>
      <c r="I272" s="439"/>
      <c r="J272" s="439"/>
      <c r="K272" s="405"/>
    </row>
    <row r="273" spans="1:11" hidden="1">
      <c r="A273" s="395" t="str">
        <f>+A327</f>
        <v>Tur</v>
      </c>
      <c r="B273" s="337">
        <f t="shared" ref="B273:H273" si="113">+B329</f>
        <v>0</v>
      </c>
      <c r="C273" s="337">
        <f t="shared" si="113"/>
        <v>0</v>
      </c>
      <c r="D273" s="389">
        <f t="shared" si="113"/>
        <v>0</v>
      </c>
      <c r="E273" s="389">
        <f t="shared" si="113"/>
        <v>0</v>
      </c>
      <c r="F273" s="389">
        <f t="shared" si="113"/>
        <v>0</v>
      </c>
      <c r="G273" s="389">
        <f t="shared" si="113"/>
        <v>0</v>
      </c>
      <c r="H273" s="389">
        <f t="shared" si="113"/>
        <v>0</v>
      </c>
      <c r="I273" s="438"/>
      <c r="J273" s="438"/>
      <c r="K273" s="406"/>
    </row>
    <row r="274" spans="1:11" hidden="1">
      <c r="A274" s="395" t="s">
        <v>755</v>
      </c>
      <c r="B274" s="342">
        <f t="shared" ref="B274:H274" si="114">+B334</f>
        <v>0</v>
      </c>
      <c r="C274" s="342">
        <f t="shared" si="114"/>
        <v>0</v>
      </c>
      <c r="D274" s="427">
        <f t="shared" si="114"/>
        <v>0</v>
      </c>
      <c r="E274" s="427">
        <f t="shared" si="114"/>
        <v>0</v>
      </c>
      <c r="F274" s="427">
        <f t="shared" si="114"/>
        <v>0</v>
      </c>
      <c r="G274" s="427">
        <f t="shared" si="114"/>
        <v>0</v>
      </c>
      <c r="H274" s="427">
        <f t="shared" si="114"/>
        <v>0</v>
      </c>
      <c r="I274" s="439"/>
      <c r="J274" s="439"/>
      <c r="K274" s="405"/>
    </row>
    <row r="275" spans="1:11" hidden="1">
      <c r="A275" s="395"/>
      <c r="B275" s="342"/>
      <c r="C275" s="342"/>
      <c r="D275" s="427"/>
      <c r="E275" s="427"/>
      <c r="F275" s="427"/>
      <c r="G275" s="427"/>
      <c r="H275" s="427"/>
      <c r="I275" s="439"/>
      <c r="J275" s="439"/>
      <c r="K275" s="405"/>
    </row>
    <row r="276" spans="1:11" hidden="1">
      <c r="A276" s="395" t="s">
        <v>756</v>
      </c>
      <c r="B276" s="342">
        <f t="shared" ref="B276:H276" si="115">+ROUND(B273*B274/100000,2)</f>
        <v>0</v>
      </c>
      <c r="C276" s="342">
        <f t="shared" si="115"/>
        <v>0</v>
      </c>
      <c r="D276" s="427">
        <f t="shared" si="115"/>
        <v>0</v>
      </c>
      <c r="E276" s="427">
        <f t="shared" si="115"/>
        <v>0</v>
      </c>
      <c r="F276" s="427">
        <f t="shared" si="115"/>
        <v>0</v>
      </c>
      <c r="G276" s="427">
        <f t="shared" si="115"/>
        <v>0</v>
      </c>
      <c r="H276" s="427">
        <f t="shared" si="115"/>
        <v>0</v>
      </c>
      <c r="I276" s="439"/>
      <c r="J276" s="439"/>
      <c r="K276" s="405"/>
    </row>
    <row r="277" spans="1:11">
      <c r="A277" s="395"/>
      <c r="B277" s="342"/>
      <c r="C277" s="342"/>
      <c r="D277" s="427"/>
      <c r="E277" s="427"/>
      <c r="F277" s="427"/>
      <c r="G277" s="427"/>
      <c r="H277" s="427"/>
      <c r="I277" s="439"/>
      <c r="J277" s="439"/>
      <c r="K277" s="405"/>
    </row>
    <row r="278" spans="1:11" hidden="1">
      <c r="A278" s="395" t="str">
        <f>+A339</f>
        <v>Chilli</v>
      </c>
      <c r="B278" s="337">
        <f t="shared" ref="B278:H278" si="116">+B341</f>
        <v>0</v>
      </c>
      <c r="C278" s="337">
        <f t="shared" si="116"/>
        <v>0</v>
      </c>
      <c r="D278" s="389">
        <f t="shared" si="116"/>
        <v>0</v>
      </c>
      <c r="E278" s="389">
        <f t="shared" si="116"/>
        <v>0</v>
      </c>
      <c r="F278" s="389">
        <f t="shared" si="116"/>
        <v>0</v>
      </c>
      <c r="G278" s="389">
        <f t="shared" si="116"/>
        <v>0</v>
      </c>
      <c r="H278" s="389">
        <f t="shared" si="116"/>
        <v>0</v>
      </c>
      <c r="I278" s="438"/>
      <c r="J278" s="438"/>
      <c r="K278" s="406"/>
    </row>
    <row r="279" spans="1:11" hidden="1">
      <c r="A279" s="395" t="s">
        <v>755</v>
      </c>
      <c r="B279" s="342">
        <f t="shared" ref="B279:H279" si="117">+B346</f>
        <v>0</v>
      </c>
      <c r="C279" s="342">
        <f t="shared" si="117"/>
        <v>0</v>
      </c>
      <c r="D279" s="427">
        <f t="shared" si="117"/>
        <v>0</v>
      </c>
      <c r="E279" s="427">
        <f t="shared" si="117"/>
        <v>0</v>
      </c>
      <c r="F279" s="427">
        <f t="shared" si="117"/>
        <v>0</v>
      </c>
      <c r="G279" s="427">
        <f t="shared" si="117"/>
        <v>0</v>
      </c>
      <c r="H279" s="427">
        <f t="shared" si="117"/>
        <v>0</v>
      </c>
      <c r="I279" s="439"/>
      <c r="J279" s="439"/>
      <c r="K279" s="405"/>
    </row>
    <row r="280" spans="1:11" hidden="1">
      <c r="A280" s="395"/>
      <c r="B280" s="342"/>
      <c r="C280" s="342"/>
      <c r="D280" s="427"/>
      <c r="E280" s="427"/>
      <c r="F280" s="427"/>
      <c r="G280" s="427"/>
      <c r="H280" s="427"/>
      <c r="I280" s="439"/>
      <c r="J280" s="439"/>
      <c r="K280" s="405"/>
    </row>
    <row r="281" spans="1:11" hidden="1">
      <c r="A281" s="395" t="s">
        <v>756</v>
      </c>
      <c r="B281" s="342">
        <f t="shared" ref="B281:H281" si="118">+ROUND(B278*B279/100000,2)</f>
        <v>0</v>
      </c>
      <c r="C281" s="342">
        <f t="shared" si="118"/>
        <v>0</v>
      </c>
      <c r="D281" s="427">
        <f t="shared" si="118"/>
        <v>0</v>
      </c>
      <c r="E281" s="427">
        <f t="shared" si="118"/>
        <v>0</v>
      </c>
      <c r="F281" s="427">
        <f t="shared" si="118"/>
        <v>0</v>
      </c>
      <c r="G281" s="427">
        <f t="shared" si="118"/>
        <v>0</v>
      </c>
      <c r="H281" s="427">
        <f t="shared" si="118"/>
        <v>0</v>
      </c>
      <c r="I281" s="439"/>
      <c r="J281" s="439"/>
      <c r="K281" s="405"/>
    </row>
    <row r="282" spans="1:11" hidden="1">
      <c r="A282" s="395"/>
      <c r="B282" s="342"/>
      <c r="C282" s="342"/>
      <c r="D282" s="427"/>
      <c r="E282" s="427"/>
      <c r="F282" s="427"/>
      <c r="G282" s="425"/>
      <c r="H282" s="425"/>
      <c r="I282" s="437"/>
      <c r="J282" s="437"/>
      <c r="K282" s="251"/>
    </row>
    <row r="283" spans="1:11">
      <c r="A283" s="651" t="s">
        <v>757</v>
      </c>
      <c r="B283" s="343">
        <f t="shared" ref="B283:H283" si="119">+B261+B266+B271+B276+B281</f>
        <v>566.08000000000004</v>
      </c>
      <c r="C283" s="343">
        <f t="shared" si="119"/>
        <v>643.1</v>
      </c>
      <c r="D283" s="428">
        <f t="shared" si="119"/>
        <v>736.7</v>
      </c>
      <c r="E283" s="428">
        <f t="shared" si="119"/>
        <v>838.03</v>
      </c>
      <c r="F283" s="428">
        <f t="shared" si="119"/>
        <v>947.52</v>
      </c>
      <c r="G283" s="428">
        <f t="shared" si="119"/>
        <v>1065.96</v>
      </c>
      <c r="H283" s="428">
        <f t="shared" si="119"/>
        <v>1193.8599999999999</v>
      </c>
      <c r="I283" s="440"/>
      <c r="J283" s="440"/>
      <c r="K283" s="407"/>
    </row>
    <row r="287" spans="1:11" ht="26.25">
      <c r="A287" s="672" t="s">
        <v>767</v>
      </c>
    </row>
    <row r="288" spans="1:11">
      <c r="A288" s="671" t="s">
        <v>0</v>
      </c>
      <c r="B288" s="542" t="s">
        <v>2</v>
      </c>
      <c r="C288" s="542" t="s">
        <v>3</v>
      </c>
      <c r="D288" s="543" t="s">
        <v>4</v>
      </c>
      <c r="E288" s="543" t="s">
        <v>5</v>
      </c>
      <c r="F288" s="543" t="s">
        <v>6</v>
      </c>
      <c r="G288" s="543" t="s">
        <v>164</v>
      </c>
      <c r="H288" s="543" t="s">
        <v>163</v>
      </c>
      <c r="I288" s="441"/>
      <c r="J288" s="615">
        <v>1</v>
      </c>
      <c r="K288" s="410"/>
    </row>
    <row r="289" spans="1:11">
      <c r="A289" s="651" t="s">
        <v>759</v>
      </c>
      <c r="B289" s="336"/>
      <c r="C289" s="336"/>
      <c r="D289" s="389"/>
      <c r="E289" s="389"/>
      <c r="F289" s="389"/>
      <c r="G289" s="346"/>
      <c r="H289" s="346"/>
      <c r="I289" s="442"/>
      <c r="J289" s="442"/>
      <c r="K289" s="411"/>
    </row>
    <row r="290" spans="1:11">
      <c r="A290" s="651" t="str">
        <f>+'Input Sheet'!B96</f>
        <v>Paddy</v>
      </c>
      <c r="B290" s="336"/>
      <c r="C290" s="336"/>
      <c r="D290" s="389"/>
      <c r="E290" s="389"/>
      <c r="F290" s="389"/>
      <c r="G290" s="346"/>
      <c r="H290" s="346"/>
      <c r="I290" s="442"/>
      <c r="J290" s="442"/>
      <c r="K290" s="411"/>
    </row>
    <row r="291" spans="1:11">
      <c r="A291" s="395" t="s">
        <v>355</v>
      </c>
      <c r="B291" s="336">
        <v>0</v>
      </c>
      <c r="C291" s="336">
        <f t="shared" ref="C291:H291" si="120">B294</f>
        <v>40</v>
      </c>
      <c r="D291" s="389">
        <f t="shared" si="120"/>
        <v>40</v>
      </c>
      <c r="E291" s="389">
        <f t="shared" si="120"/>
        <v>40</v>
      </c>
      <c r="F291" s="389">
        <f t="shared" si="120"/>
        <v>40</v>
      </c>
      <c r="G291" s="389">
        <f t="shared" si="120"/>
        <v>40</v>
      </c>
      <c r="H291" s="389">
        <f t="shared" si="120"/>
        <v>40</v>
      </c>
      <c r="I291" s="443"/>
      <c r="J291" s="443"/>
      <c r="K291" s="412"/>
    </row>
    <row r="292" spans="1:11">
      <c r="A292" s="395" t="s">
        <v>760</v>
      </c>
      <c r="B292" s="337">
        <f t="shared" ref="B292:H292" si="121">SUM(B293:B294)-B291</f>
        <v>2440</v>
      </c>
      <c r="C292" s="337">
        <f t="shared" si="121"/>
        <v>2640</v>
      </c>
      <c r="D292" s="389">
        <f t="shared" si="121"/>
        <v>2880</v>
      </c>
      <c r="E292" s="389">
        <f t="shared" si="121"/>
        <v>3120</v>
      </c>
      <c r="F292" s="389">
        <f t="shared" si="121"/>
        <v>3360</v>
      </c>
      <c r="G292" s="389">
        <f t="shared" si="121"/>
        <v>3600</v>
      </c>
      <c r="H292" s="389">
        <f t="shared" si="121"/>
        <v>3840</v>
      </c>
      <c r="I292" s="443"/>
      <c r="J292" s="443"/>
      <c r="K292" s="413"/>
    </row>
    <row r="293" spans="1:11">
      <c r="A293" s="395" t="s">
        <v>761</v>
      </c>
      <c r="B293" s="337">
        <f t="shared" ref="B293:H293" si="122">+B32</f>
        <v>2400</v>
      </c>
      <c r="C293" s="337">
        <f t="shared" si="122"/>
        <v>2640</v>
      </c>
      <c r="D293" s="389">
        <f t="shared" si="122"/>
        <v>2880</v>
      </c>
      <c r="E293" s="389">
        <f t="shared" si="122"/>
        <v>3120</v>
      </c>
      <c r="F293" s="389">
        <f t="shared" si="122"/>
        <v>3360</v>
      </c>
      <c r="G293" s="389">
        <f t="shared" si="122"/>
        <v>3600</v>
      </c>
      <c r="H293" s="389">
        <f t="shared" si="122"/>
        <v>3840</v>
      </c>
      <c r="I293" s="443"/>
      <c r="J293" s="443"/>
      <c r="K293" s="413"/>
    </row>
    <row r="294" spans="1:11">
      <c r="A294" s="395" t="s">
        <v>762</v>
      </c>
      <c r="B294" s="336">
        <f t="shared" ref="B294:H294" si="123">ROUND(B293/B68,0)</f>
        <v>40</v>
      </c>
      <c r="C294" s="336">
        <f t="shared" si="123"/>
        <v>40</v>
      </c>
      <c r="D294" s="389">
        <f t="shared" si="123"/>
        <v>40</v>
      </c>
      <c r="E294" s="389">
        <f t="shared" si="123"/>
        <v>40</v>
      </c>
      <c r="F294" s="389">
        <f t="shared" si="123"/>
        <v>40</v>
      </c>
      <c r="G294" s="389">
        <f t="shared" si="123"/>
        <v>40</v>
      </c>
      <c r="H294" s="389">
        <f t="shared" si="123"/>
        <v>40</v>
      </c>
      <c r="I294" s="443"/>
      <c r="J294" s="443"/>
      <c r="K294" s="412"/>
    </row>
    <row r="295" spans="1:11">
      <c r="A295" s="393"/>
      <c r="B295" s="321"/>
      <c r="C295" s="321"/>
      <c r="D295" s="346"/>
      <c r="E295" s="346"/>
      <c r="F295" s="346"/>
      <c r="G295" s="346"/>
      <c r="H295" s="346"/>
      <c r="I295" s="442"/>
      <c r="J295" s="442"/>
      <c r="K295" s="411"/>
    </row>
    <row r="296" spans="1:11">
      <c r="A296" s="651" t="s">
        <v>763</v>
      </c>
      <c r="B296" s="321"/>
      <c r="C296" s="321"/>
      <c r="D296" s="346"/>
      <c r="E296" s="346"/>
      <c r="F296" s="346"/>
      <c r="G296" s="346"/>
      <c r="H296" s="346"/>
      <c r="I296" s="442"/>
      <c r="J296" s="442"/>
      <c r="K296" s="411"/>
    </row>
    <row r="297" spans="1:11">
      <c r="A297" s="651" t="s">
        <v>764</v>
      </c>
      <c r="B297" s="580">
        <f>+'Input Sheet'!C96</f>
        <v>23200</v>
      </c>
      <c r="C297" s="580">
        <f>+'Input Sheet'!D96</f>
        <v>24360</v>
      </c>
      <c r="D297" s="580">
        <f>+'Input Sheet'!E96</f>
        <v>25580</v>
      </c>
      <c r="E297" s="580">
        <f>+'Input Sheet'!F96</f>
        <v>26860</v>
      </c>
      <c r="F297" s="580">
        <f>+'Input Sheet'!G96</f>
        <v>28200</v>
      </c>
      <c r="G297" s="580">
        <f>+'Input Sheet'!H96</f>
        <v>29610</v>
      </c>
      <c r="H297" s="580">
        <f>+'Input Sheet'!I96</f>
        <v>31090</v>
      </c>
      <c r="I297" s="442"/>
      <c r="J297" s="442"/>
      <c r="K297" s="414"/>
    </row>
    <row r="298" spans="1:11">
      <c r="A298" s="393"/>
      <c r="B298" s="321"/>
      <c r="C298" s="321"/>
      <c r="D298" s="346"/>
      <c r="E298" s="346"/>
      <c r="F298" s="346"/>
      <c r="G298" s="346"/>
      <c r="H298" s="346"/>
      <c r="I298" s="442"/>
      <c r="J298" s="442"/>
      <c r="K298" s="411"/>
    </row>
    <row r="299" spans="1:11">
      <c r="A299" s="393"/>
      <c r="B299" s="321"/>
      <c r="C299" s="321"/>
      <c r="D299" s="346"/>
      <c r="E299" s="346"/>
      <c r="F299" s="346"/>
      <c r="G299" s="346"/>
      <c r="H299" s="346"/>
      <c r="I299" s="442"/>
      <c r="J299" s="442"/>
      <c r="K299" s="411"/>
    </row>
    <row r="300" spans="1:11">
      <c r="A300" s="646" t="s">
        <v>765</v>
      </c>
      <c r="B300" s="409">
        <f>+B291*B297/100000</f>
        <v>0</v>
      </c>
      <c r="C300" s="344">
        <f t="shared" ref="C300:H300" si="124">+B301</f>
        <v>9.2799999999999994</v>
      </c>
      <c r="D300" s="344">
        <f t="shared" si="124"/>
        <v>9.7439999999999998</v>
      </c>
      <c r="E300" s="344">
        <f t="shared" si="124"/>
        <v>10.231999999999999</v>
      </c>
      <c r="F300" s="344">
        <f t="shared" si="124"/>
        <v>10.744</v>
      </c>
      <c r="G300" s="344">
        <f t="shared" si="124"/>
        <v>11.28</v>
      </c>
      <c r="H300" s="344">
        <f t="shared" si="124"/>
        <v>11.843999999999999</v>
      </c>
      <c r="I300" s="415"/>
      <c r="J300" s="415"/>
      <c r="K300" s="415"/>
    </row>
    <row r="301" spans="1:11">
      <c r="A301" s="646" t="s">
        <v>766</v>
      </c>
      <c r="B301" s="344">
        <f t="shared" ref="B301:H301" si="125">+B294*B297/100000</f>
        <v>9.2799999999999994</v>
      </c>
      <c r="C301" s="344">
        <f t="shared" si="125"/>
        <v>9.7439999999999998</v>
      </c>
      <c r="D301" s="344">
        <f t="shared" si="125"/>
        <v>10.231999999999999</v>
      </c>
      <c r="E301" s="344">
        <f t="shared" si="125"/>
        <v>10.744</v>
      </c>
      <c r="F301" s="344">
        <f t="shared" si="125"/>
        <v>11.28</v>
      </c>
      <c r="G301" s="344">
        <f t="shared" si="125"/>
        <v>11.843999999999999</v>
      </c>
      <c r="H301" s="344">
        <f t="shared" si="125"/>
        <v>12.436</v>
      </c>
      <c r="I301" s="415"/>
      <c r="J301" s="415"/>
      <c r="K301" s="415"/>
    </row>
    <row r="302" spans="1:11">
      <c r="A302" s="393"/>
      <c r="B302" s="321"/>
      <c r="C302" s="321"/>
      <c r="D302" s="346"/>
      <c r="E302" s="346"/>
      <c r="F302" s="346"/>
      <c r="G302" s="346"/>
      <c r="H302" s="346"/>
      <c r="I302" s="442"/>
      <c r="J302" s="442"/>
      <c r="K302" s="411"/>
    </row>
    <row r="303" spans="1:11" hidden="1">
      <c r="A303" s="651" t="str">
        <f>+'Input Sheet'!B97</f>
        <v>Moong</v>
      </c>
      <c r="B303" s="336"/>
      <c r="C303" s="336"/>
      <c r="D303" s="389"/>
      <c r="E303" s="389"/>
      <c r="F303" s="389"/>
      <c r="G303" s="346"/>
      <c r="H303" s="346"/>
      <c r="I303" s="442"/>
      <c r="J303" s="442"/>
      <c r="K303" s="411"/>
    </row>
    <row r="304" spans="1:11" hidden="1">
      <c r="A304" s="395" t="s">
        <v>355</v>
      </c>
      <c r="B304" s="336">
        <v>0</v>
      </c>
      <c r="C304" s="336">
        <f t="shared" ref="C304:H304" si="126">B307</f>
        <v>0</v>
      </c>
      <c r="D304" s="389">
        <f t="shared" si="126"/>
        <v>0</v>
      </c>
      <c r="E304" s="389">
        <f t="shared" si="126"/>
        <v>0</v>
      </c>
      <c r="F304" s="389">
        <f t="shared" si="126"/>
        <v>0</v>
      </c>
      <c r="G304" s="389">
        <f t="shared" si="126"/>
        <v>0</v>
      </c>
      <c r="H304" s="389">
        <f t="shared" si="126"/>
        <v>0</v>
      </c>
      <c r="I304" s="443"/>
      <c r="J304" s="443"/>
      <c r="K304" s="412"/>
    </row>
    <row r="305" spans="1:11" hidden="1">
      <c r="A305" s="395" t="s">
        <v>760</v>
      </c>
      <c r="B305" s="337">
        <f t="shared" ref="B305:H305" si="127">SUM(B306:B307)-B304</f>
        <v>0</v>
      </c>
      <c r="C305" s="337">
        <f t="shared" si="127"/>
        <v>0</v>
      </c>
      <c r="D305" s="389">
        <f t="shared" si="127"/>
        <v>0</v>
      </c>
      <c r="E305" s="389">
        <f t="shared" si="127"/>
        <v>0</v>
      </c>
      <c r="F305" s="389">
        <f t="shared" si="127"/>
        <v>0</v>
      </c>
      <c r="G305" s="389">
        <f t="shared" si="127"/>
        <v>0</v>
      </c>
      <c r="H305" s="389">
        <f t="shared" si="127"/>
        <v>0</v>
      </c>
      <c r="I305" s="443"/>
      <c r="J305" s="443"/>
      <c r="K305" s="413"/>
    </row>
    <row r="306" spans="1:11" hidden="1">
      <c r="A306" s="395" t="s">
        <v>761</v>
      </c>
      <c r="B306" s="337">
        <f t="shared" ref="B306:H306" si="128">+B33</f>
        <v>0</v>
      </c>
      <c r="C306" s="337">
        <f t="shared" si="128"/>
        <v>0</v>
      </c>
      <c r="D306" s="389">
        <f t="shared" si="128"/>
        <v>0</v>
      </c>
      <c r="E306" s="389">
        <f t="shared" si="128"/>
        <v>0</v>
      </c>
      <c r="F306" s="389">
        <f t="shared" si="128"/>
        <v>0</v>
      </c>
      <c r="G306" s="389">
        <f t="shared" si="128"/>
        <v>0</v>
      </c>
      <c r="H306" s="389">
        <f t="shared" si="128"/>
        <v>0</v>
      </c>
      <c r="I306" s="443"/>
      <c r="J306" s="443"/>
      <c r="K306" s="413"/>
    </row>
    <row r="307" spans="1:11" hidden="1">
      <c r="A307" s="395" t="s">
        <v>762</v>
      </c>
      <c r="B307" s="336">
        <f t="shared" ref="B307:H307" si="129">ROUND(B306/B68,0)</f>
        <v>0</v>
      </c>
      <c r="C307" s="336">
        <f t="shared" si="129"/>
        <v>0</v>
      </c>
      <c r="D307" s="389">
        <f t="shared" si="129"/>
        <v>0</v>
      </c>
      <c r="E307" s="389">
        <f t="shared" si="129"/>
        <v>0</v>
      </c>
      <c r="F307" s="389">
        <f t="shared" si="129"/>
        <v>0</v>
      </c>
      <c r="G307" s="389">
        <f t="shared" si="129"/>
        <v>0</v>
      </c>
      <c r="H307" s="389">
        <f t="shared" si="129"/>
        <v>0</v>
      </c>
      <c r="I307" s="443"/>
      <c r="J307" s="443"/>
      <c r="K307" s="412"/>
    </row>
    <row r="308" spans="1:11" hidden="1">
      <c r="A308" s="393"/>
      <c r="B308" s="321"/>
      <c r="C308" s="321"/>
      <c r="D308" s="346"/>
      <c r="E308" s="346"/>
      <c r="F308" s="346"/>
      <c r="G308" s="346"/>
      <c r="H308" s="346"/>
      <c r="I308" s="442"/>
      <c r="J308" s="442"/>
      <c r="K308" s="411"/>
    </row>
    <row r="309" spans="1:11" hidden="1">
      <c r="A309" s="651" t="s">
        <v>763</v>
      </c>
      <c r="B309" s="321"/>
      <c r="C309" s="321"/>
      <c r="D309" s="346"/>
      <c r="E309" s="346"/>
      <c r="F309" s="346"/>
      <c r="G309" s="346"/>
      <c r="H309" s="346"/>
      <c r="I309" s="442"/>
      <c r="J309" s="442"/>
      <c r="K309" s="411"/>
    </row>
    <row r="310" spans="1:11" hidden="1">
      <c r="A310" s="651" t="s">
        <v>764</v>
      </c>
      <c r="B310" s="580">
        <f>+'Input Sheet'!C97</f>
        <v>0</v>
      </c>
      <c r="C310" s="580">
        <f>+'Input Sheet'!D97</f>
        <v>0</v>
      </c>
      <c r="D310" s="580">
        <f>+'Input Sheet'!E97</f>
        <v>0</v>
      </c>
      <c r="E310" s="580">
        <f>+'Input Sheet'!F97</f>
        <v>0</v>
      </c>
      <c r="F310" s="580">
        <f>+'Input Sheet'!G97</f>
        <v>0</v>
      </c>
      <c r="G310" s="580">
        <f>+'Input Sheet'!H97</f>
        <v>0</v>
      </c>
      <c r="H310" s="580">
        <f>+'Input Sheet'!I97</f>
        <v>0</v>
      </c>
      <c r="I310" s="442"/>
      <c r="J310" s="442"/>
      <c r="K310" s="414"/>
    </row>
    <row r="311" spans="1:11" hidden="1">
      <c r="A311" s="651"/>
      <c r="B311" s="334"/>
      <c r="C311" s="408"/>
      <c r="D311" s="346"/>
      <c r="E311" s="346"/>
      <c r="F311" s="346"/>
      <c r="G311" s="346"/>
      <c r="H311" s="346"/>
      <c r="I311" s="442"/>
      <c r="J311" s="442"/>
      <c r="K311" s="414"/>
    </row>
    <row r="312" spans="1:11" hidden="1">
      <c r="A312" s="646" t="s">
        <v>765</v>
      </c>
      <c r="B312" s="409">
        <f>+B304*B310/100000</f>
        <v>0</v>
      </c>
      <c r="C312" s="344">
        <f t="shared" ref="C312:H312" si="130">+B313</f>
        <v>0</v>
      </c>
      <c r="D312" s="344">
        <f t="shared" si="130"/>
        <v>0</v>
      </c>
      <c r="E312" s="344">
        <f t="shared" si="130"/>
        <v>0</v>
      </c>
      <c r="F312" s="344">
        <f t="shared" si="130"/>
        <v>0</v>
      </c>
      <c r="G312" s="344">
        <f t="shared" si="130"/>
        <v>0</v>
      </c>
      <c r="H312" s="344">
        <f t="shared" si="130"/>
        <v>0</v>
      </c>
      <c r="I312" s="415"/>
      <c r="J312" s="415"/>
      <c r="K312" s="415"/>
    </row>
    <row r="313" spans="1:11" hidden="1">
      <c r="A313" s="646" t="s">
        <v>766</v>
      </c>
      <c r="B313" s="344">
        <f t="shared" ref="B313:H313" si="131">+B307*B310/100000</f>
        <v>0</v>
      </c>
      <c r="C313" s="344">
        <f t="shared" si="131"/>
        <v>0</v>
      </c>
      <c r="D313" s="344">
        <f t="shared" si="131"/>
        <v>0</v>
      </c>
      <c r="E313" s="344">
        <f t="shared" si="131"/>
        <v>0</v>
      </c>
      <c r="F313" s="344">
        <f t="shared" si="131"/>
        <v>0</v>
      </c>
      <c r="G313" s="344">
        <f t="shared" si="131"/>
        <v>0</v>
      </c>
      <c r="H313" s="344">
        <f t="shared" si="131"/>
        <v>0</v>
      </c>
      <c r="I313" s="415"/>
      <c r="J313" s="415"/>
      <c r="K313" s="415"/>
    </row>
    <row r="314" spans="1:11" hidden="1">
      <c r="A314" s="646"/>
      <c r="B314" s="344"/>
      <c r="C314" s="344"/>
      <c r="D314" s="344"/>
      <c r="E314" s="344"/>
      <c r="F314" s="344"/>
      <c r="G314" s="344"/>
      <c r="H314" s="344"/>
      <c r="I314" s="415"/>
      <c r="J314" s="415"/>
      <c r="K314" s="415"/>
    </row>
    <row r="315" spans="1:11" hidden="1">
      <c r="A315" s="651" t="str">
        <f>+'Input Sheet'!B99</f>
        <v>Udad</v>
      </c>
      <c r="B315" s="336"/>
      <c r="C315" s="336"/>
      <c r="D315" s="389"/>
      <c r="E315" s="389"/>
      <c r="F315" s="389"/>
      <c r="G315" s="346"/>
      <c r="H315" s="346"/>
      <c r="I315" s="442"/>
      <c r="J315" s="442"/>
      <c r="K315" s="411"/>
    </row>
    <row r="316" spans="1:11" hidden="1">
      <c r="A316" s="395" t="s">
        <v>355</v>
      </c>
      <c r="B316" s="336">
        <v>0</v>
      </c>
      <c r="C316" s="336">
        <f t="shared" ref="C316:H316" si="132">B319</f>
        <v>0</v>
      </c>
      <c r="D316" s="389">
        <f t="shared" si="132"/>
        <v>0</v>
      </c>
      <c r="E316" s="389">
        <f t="shared" si="132"/>
        <v>0</v>
      </c>
      <c r="F316" s="389">
        <f t="shared" si="132"/>
        <v>0</v>
      </c>
      <c r="G316" s="389">
        <f t="shared" si="132"/>
        <v>0</v>
      </c>
      <c r="H316" s="389">
        <f t="shared" si="132"/>
        <v>0</v>
      </c>
      <c r="I316" s="443"/>
      <c r="J316" s="443"/>
      <c r="K316" s="412"/>
    </row>
    <row r="317" spans="1:11" hidden="1">
      <c r="A317" s="395" t="s">
        <v>760</v>
      </c>
      <c r="B317" s="337">
        <f t="shared" ref="B317:H317" si="133">SUM(B318:B319)-B316</f>
        <v>0</v>
      </c>
      <c r="C317" s="337">
        <f t="shared" si="133"/>
        <v>0</v>
      </c>
      <c r="D317" s="389">
        <f t="shared" si="133"/>
        <v>0</v>
      </c>
      <c r="E317" s="389">
        <f t="shared" si="133"/>
        <v>0</v>
      </c>
      <c r="F317" s="389">
        <f t="shared" si="133"/>
        <v>0</v>
      </c>
      <c r="G317" s="389">
        <f t="shared" si="133"/>
        <v>0</v>
      </c>
      <c r="H317" s="389">
        <f t="shared" si="133"/>
        <v>0</v>
      </c>
      <c r="I317" s="443"/>
      <c r="J317" s="443"/>
      <c r="K317" s="413"/>
    </row>
    <row r="318" spans="1:11" hidden="1">
      <c r="A318" s="395" t="s">
        <v>761</v>
      </c>
      <c r="B318" s="337">
        <f t="shared" ref="B318:H318" si="134">+B34</f>
        <v>0</v>
      </c>
      <c r="C318" s="337">
        <f t="shared" si="134"/>
        <v>0</v>
      </c>
      <c r="D318" s="389">
        <f t="shared" si="134"/>
        <v>0</v>
      </c>
      <c r="E318" s="389">
        <f t="shared" si="134"/>
        <v>0</v>
      </c>
      <c r="F318" s="389">
        <f t="shared" si="134"/>
        <v>0</v>
      </c>
      <c r="G318" s="389">
        <f t="shared" si="134"/>
        <v>0</v>
      </c>
      <c r="H318" s="389">
        <f t="shared" si="134"/>
        <v>0</v>
      </c>
      <c r="I318" s="443"/>
      <c r="J318" s="443"/>
      <c r="K318" s="413"/>
    </row>
    <row r="319" spans="1:11" hidden="1">
      <c r="A319" s="395" t="s">
        <v>762</v>
      </c>
      <c r="B319" s="336">
        <f t="shared" ref="B319:H319" si="135">ROUND(B318/B68,0)</f>
        <v>0</v>
      </c>
      <c r="C319" s="336">
        <f t="shared" si="135"/>
        <v>0</v>
      </c>
      <c r="D319" s="389">
        <f t="shared" si="135"/>
        <v>0</v>
      </c>
      <c r="E319" s="389">
        <f t="shared" si="135"/>
        <v>0</v>
      </c>
      <c r="F319" s="389">
        <f t="shared" si="135"/>
        <v>0</v>
      </c>
      <c r="G319" s="389">
        <f t="shared" si="135"/>
        <v>0</v>
      </c>
      <c r="H319" s="389">
        <f t="shared" si="135"/>
        <v>0</v>
      </c>
      <c r="I319" s="443"/>
      <c r="J319" s="443"/>
      <c r="K319" s="412"/>
    </row>
    <row r="320" spans="1:11" hidden="1">
      <c r="A320" s="393"/>
      <c r="B320" s="321"/>
      <c r="C320" s="321"/>
      <c r="D320" s="346"/>
      <c r="E320" s="346"/>
      <c r="F320" s="346"/>
      <c r="G320" s="346"/>
      <c r="H320" s="346"/>
      <c r="I320" s="442"/>
      <c r="J320" s="442"/>
      <c r="K320" s="411"/>
    </row>
    <row r="321" spans="1:11" hidden="1">
      <c r="A321" s="651" t="s">
        <v>763</v>
      </c>
      <c r="B321" s="321"/>
      <c r="C321" s="321"/>
      <c r="D321" s="346"/>
      <c r="E321" s="346"/>
      <c r="F321" s="346"/>
      <c r="G321" s="346"/>
      <c r="H321" s="346"/>
      <c r="I321" s="442"/>
      <c r="J321" s="442"/>
      <c r="K321" s="411"/>
    </row>
    <row r="322" spans="1:11" hidden="1">
      <c r="A322" s="651" t="s">
        <v>764</v>
      </c>
      <c r="B322" s="334">
        <f>+'Input Sheet'!C99</f>
        <v>0</v>
      </c>
      <c r="C322" s="334">
        <f>+'Input Sheet'!D99</f>
        <v>0</v>
      </c>
      <c r="D322" s="334">
        <f>+'Input Sheet'!E99</f>
        <v>0</v>
      </c>
      <c r="E322" s="334">
        <f>+'Input Sheet'!F99</f>
        <v>0</v>
      </c>
      <c r="F322" s="334">
        <f>+'Input Sheet'!G99</f>
        <v>0</v>
      </c>
      <c r="G322" s="334">
        <f>+'Input Sheet'!H99</f>
        <v>0</v>
      </c>
      <c r="H322" s="334">
        <f>+'Input Sheet'!I99</f>
        <v>0</v>
      </c>
      <c r="I322" s="442"/>
      <c r="J322" s="442"/>
      <c r="K322" s="414"/>
    </row>
    <row r="323" spans="1:11" hidden="1">
      <c r="A323" s="651"/>
      <c r="B323" s="334"/>
      <c r="C323" s="408"/>
      <c r="D323" s="346"/>
      <c r="E323" s="346"/>
      <c r="F323" s="346"/>
      <c r="G323" s="346"/>
      <c r="H323" s="346"/>
      <c r="I323" s="442"/>
      <c r="J323" s="442"/>
      <c r="K323" s="414"/>
    </row>
    <row r="324" spans="1:11" hidden="1">
      <c r="A324" s="646" t="s">
        <v>765</v>
      </c>
      <c r="B324" s="409">
        <f>+B316*B322/100000</f>
        <v>0</v>
      </c>
      <c r="C324" s="344">
        <f t="shared" ref="C324:H324" si="136">+B325</f>
        <v>0</v>
      </c>
      <c r="D324" s="344">
        <f t="shared" si="136"/>
        <v>0</v>
      </c>
      <c r="E324" s="344">
        <f t="shared" si="136"/>
        <v>0</v>
      </c>
      <c r="F324" s="344">
        <f t="shared" si="136"/>
        <v>0</v>
      </c>
      <c r="G324" s="344">
        <f t="shared" si="136"/>
        <v>0</v>
      </c>
      <c r="H324" s="344">
        <f t="shared" si="136"/>
        <v>0</v>
      </c>
      <c r="I324" s="415"/>
      <c r="J324" s="415"/>
      <c r="K324" s="415"/>
    </row>
    <row r="325" spans="1:11" hidden="1">
      <c r="A325" s="646" t="s">
        <v>766</v>
      </c>
      <c r="B325" s="344">
        <f t="shared" ref="B325:H325" si="137">+B319*B322/100000</f>
        <v>0</v>
      </c>
      <c r="C325" s="344">
        <f t="shared" si="137"/>
        <v>0</v>
      </c>
      <c r="D325" s="344">
        <f t="shared" si="137"/>
        <v>0</v>
      </c>
      <c r="E325" s="344">
        <f t="shared" si="137"/>
        <v>0</v>
      </c>
      <c r="F325" s="344">
        <f t="shared" si="137"/>
        <v>0</v>
      </c>
      <c r="G325" s="344">
        <f t="shared" si="137"/>
        <v>0</v>
      </c>
      <c r="H325" s="344">
        <f t="shared" si="137"/>
        <v>0</v>
      </c>
      <c r="I325" s="415"/>
      <c r="J325" s="415"/>
      <c r="K325" s="415"/>
    </row>
    <row r="326" spans="1:11" hidden="1">
      <c r="A326" s="393"/>
      <c r="B326" s="321"/>
      <c r="C326" s="321"/>
      <c r="D326" s="346"/>
      <c r="E326" s="346"/>
      <c r="F326" s="346"/>
      <c r="G326" s="346"/>
      <c r="H326" s="346"/>
      <c r="I326" s="442"/>
      <c r="J326" s="442"/>
      <c r="K326" s="411"/>
    </row>
    <row r="327" spans="1:11" hidden="1">
      <c r="A327" s="651" t="str">
        <f>+'Input Sheet'!B100</f>
        <v>Tur</v>
      </c>
      <c r="B327" s="336"/>
      <c r="C327" s="336"/>
      <c r="D327" s="389"/>
      <c r="E327" s="389"/>
      <c r="F327" s="389"/>
      <c r="G327" s="346"/>
      <c r="H327" s="346"/>
      <c r="I327" s="442"/>
      <c r="J327" s="442"/>
      <c r="K327" s="411"/>
    </row>
    <row r="328" spans="1:11" hidden="1">
      <c r="A328" s="395" t="s">
        <v>355</v>
      </c>
      <c r="B328" s="336">
        <v>0</v>
      </c>
      <c r="C328" s="336">
        <f t="shared" ref="C328:H328" si="138">B331</f>
        <v>0</v>
      </c>
      <c r="D328" s="389">
        <f t="shared" si="138"/>
        <v>0</v>
      </c>
      <c r="E328" s="389">
        <f t="shared" si="138"/>
        <v>0</v>
      </c>
      <c r="F328" s="389">
        <f t="shared" si="138"/>
        <v>0</v>
      </c>
      <c r="G328" s="389">
        <f t="shared" si="138"/>
        <v>0</v>
      </c>
      <c r="H328" s="389">
        <f t="shared" si="138"/>
        <v>0</v>
      </c>
      <c r="I328" s="443"/>
      <c r="J328" s="443"/>
      <c r="K328" s="412"/>
    </row>
    <row r="329" spans="1:11" hidden="1">
      <c r="A329" s="395" t="s">
        <v>760</v>
      </c>
      <c r="B329" s="337">
        <f t="shared" ref="B329:H329" si="139">SUM(B330:B331)-B328</f>
        <v>0</v>
      </c>
      <c r="C329" s="337">
        <f t="shared" si="139"/>
        <v>0</v>
      </c>
      <c r="D329" s="389">
        <f t="shared" si="139"/>
        <v>0</v>
      </c>
      <c r="E329" s="389">
        <f t="shared" si="139"/>
        <v>0</v>
      </c>
      <c r="F329" s="389">
        <f t="shared" si="139"/>
        <v>0</v>
      </c>
      <c r="G329" s="389">
        <f t="shared" si="139"/>
        <v>0</v>
      </c>
      <c r="H329" s="389">
        <f t="shared" si="139"/>
        <v>0</v>
      </c>
      <c r="I329" s="443"/>
      <c r="J329" s="443"/>
      <c r="K329" s="413"/>
    </row>
    <row r="330" spans="1:11" hidden="1">
      <c r="A330" s="395" t="s">
        <v>761</v>
      </c>
      <c r="B330" s="337">
        <f t="shared" ref="B330:H330" si="140">+B35</f>
        <v>0</v>
      </c>
      <c r="C330" s="337">
        <f t="shared" si="140"/>
        <v>0</v>
      </c>
      <c r="D330" s="389">
        <f t="shared" si="140"/>
        <v>0</v>
      </c>
      <c r="E330" s="389">
        <f t="shared" si="140"/>
        <v>0</v>
      </c>
      <c r="F330" s="389">
        <f t="shared" si="140"/>
        <v>0</v>
      </c>
      <c r="G330" s="389">
        <f t="shared" si="140"/>
        <v>0</v>
      </c>
      <c r="H330" s="389">
        <f t="shared" si="140"/>
        <v>0</v>
      </c>
      <c r="I330" s="443"/>
      <c r="J330" s="443"/>
      <c r="K330" s="413"/>
    </row>
    <row r="331" spans="1:11" hidden="1">
      <c r="A331" s="395" t="s">
        <v>762</v>
      </c>
      <c r="B331" s="336">
        <f t="shared" ref="B331:H331" si="141">ROUND(B330/B68,0)</f>
        <v>0</v>
      </c>
      <c r="C331" s="336">
        <f t="shared" si="141"/>
        <v>0</v>
      </c>
      <c r="D331" s="389">
        <f t="shared" si="141"/>
        <v>0</v>
      </c>
      <c r="E331" s="389">
        <f t="shared" si="141"/>
        <v>0</v>
      </c>
      <c r="F331" s="389">
        <f t="shared" si="141"/>
        <v>0</v>
      </c>
      <c r="G331" s="389">
        <f t="shared" si="141"/>
        <v>0</v>
      </c>
      <c r="H331" s="389">
        <f t="shared" si="141"/>
        <v>0</v>
      </c>
      <c r="I331" s="443"/>
      <c r="J331" s="443"/>
      <c r="K331" s="412"/>
    </row>
    <row r="332" spans="1:11" hidden="1">
      <c r="A332" s="393"/>
      <c r="B332" s="321"/>
      <c r="C332" s="321"/>
      <c r="D332" s="346"/>
      <c r="E332" s="346"/>
      <c r="F332" s="346"/>
      <c r="G332" s="346"/>
      <c r="H332" s="346"/>
      <c r="I332" s="442"/>
      <c r="J332" s="442"/>
      <c r="K332" s="411"/>
    </row>
    <row r="333" spans="1:11" hidden="1">
      <c r="A333" s="651" t="s">
        <v>763</v>
      </c>
      <c r="B333" s="321"/>
      <c r="C333" s="321"/>
      <c r="D333" s="346"/>
      <c r="E333" s="346"/>
      <c r="F333" s="346"/>
      <c r="G333" s="346"/>
      <c r="H333" s="346"/>
      <c r="I333" s="442"/>
      <c r="J333" s="442"/>
      <c r="K333" s="411"/>
    </row>
    <row r="334" spans="1:11" hidden="1">
      <c r="A334" s="651" t="s">
        <v>764</v>
      </c>
      <c r="B334" s="580">
        <f>+'Input Sheet'!C100</f>
        <v>0</v>
      </c>
      <c r="C334" s="580">
        <f>+'Input Sheet'!D100</f>
        <v>0</v>
      </c>
      <c r="D334" s="580">
        <f>+'Input Sheet'!E100</f>
        <v>0</v>
      </c>
      <c r="E334" s="580">
        <f>+'Input Sheet'!F100</f>
        <v>0</v>
      </c>
      <c r="F334" s="580">
        <f>+'Input Sheet'!G100</f>
        <v>0</v>
      </c>
      <c r="G334" s="580">
        <f>+'Input Sheet'!H100</f>
        <v>0</v>
      </c>
      <c r="H334" s="580">
        <f>+'Input Sheet'!I100</f>
        <v>0</v>
      </c>
      <c r="I334" s="442"/>
      <c r="J334" s="442"/>
      <c r="K334" s="414"/>
    </row>
    <row r="335" spans="1:11" hidden="1">
      <c r="A335" s="651"/>
      <c r="B335" s="334"/>
      <c r="C335" s="408"/>
      <c r="D335" s="346"/>
      <c r="E335" s="346"/>
      <c r="F335" s="346"/>
      <c r="G335" s="346"/>
      <c r="H335" s="346"/>
      <c r="I335" s="442"/>
      <c r="J335" s="442"/>
      <c r="K335" s="414"/>
    </row>
    <row r="336" spans="1:11" hidden="1">
      <c r="A336" s="646" t="s">
        <v>765</v>
      </c>
      <c r="B336" s="409">
        <f>+B328*B334/100000</f>
        <v>0</v>
      </c>
      <c r="C336" s="344">
        <f t="shared" ref="C336:H336" si="142">+B337</f>
        <v>0</v>
      </c>
      <c r="D336" s="344">
        <f t="shared" si="142"/>
        <v>0</v>
      </c>
      <c r="E336" s="344">
        <f t="shared" si="142"/>
        <v>0</v>
      </c>
      <c r="F336" s="344">
        <f t="shared" si="142"/>
        <v>0</v>
      </c>
      <c r="G336" s="344">
        <f t="shared" si="142"/>
        <v>0</v>
      </c>
      <c r="H336" s="344">
        <f t="shared" si="142"/>
        <v>0</v>
      </c>
      <c r="I336" s="415"/>
      <c r="J336" s="415"/>
      <c r="K336" s="415"/>
    </row>
    <row r="337" spans="1:11" hidden="1">
      <c r="A337" s="646" t="s">
        <v>766</v>
      </c>
      <c r="B337" s="344">
        <f t="shared" ref="B337:H337" si="143">+B331*B334/100000</f>
        <v>0</v>
      </c>
      <c r="C337" s="344">
        <f t="shared" si="143"/>
        <v>0</v>
      </c>
      <c r="D337" s="344">
        <f t="shared" si="143"/>
        <v>0</v>
      </c>
      <c r="E337" s="344">
        <f t="shared" si="143"/>
        <v>0</v>
      </c>
      <c r="F337" s="344">
        <f t="shared" si="143"/>
        <v>0</v>
      </c>
      <c r="G337" s="344">
        <f t="shared" si="143"/>
        <v>0</v>
      </c>
      <c r="H337" s="344">
        <f t="shared" si="143"/>
        <v>0</v>
      </c>
      <c r="I337" s="415"/>
      <c r="J337" s="415"/>
      <c r="K337" s="415"/>
    </row>
    <row r="338" spans="1:11">
      <c r="A338" s="393"/>
      <c r="B338" s="321"/>
      <c r="C338" s="321"/>
      <c r="D338" s="346"/>
      <c r="E338" s="346"/>
      <c r="F338" s="346"/>
      <c r="G338" s="346"/>
      <c r="H338" s="346"/>
      <c r="I338" s="442"/>
      <c r="J338" s="442"/>
      <c r="K338" s="411"/>
    </row>
    <row r="339" spans="1:11" hidden="1">
      <c r="A339" s="651" t="str">
        <f>+'Input Sheet'!B101</f>
        <v>Chilli</v>
      </c>
      <c r="B339" s="336"/>
      <c r="C339" s="336"/>
      <c r="D339" s="389"/>
      <c r="E339" s="389"/>
      <c r="F339" s="389"/>
      <c r="G339" s="346"/>
      <c r="H339" s="346"/>
      <c r="I339" s="442"/>
      <c r="J339" s="442"/>
      <c r="K339" s="411"/>
    </row>
    <row r="340" spans="1:11" hidden="1">
      <c r="A340" s="395" t="s">
        <v>355</v>
      </c>
      <c r="B340" s="336">
        <v>0</v>
      </c>
      <c r="C340" s="336">
        <f t="shared" ref="C340:H340" si="144">B343</f>
        <v>0</v>
      </c>
      <c r="D340" s="389">
        <f t="shared" si="144"/>
        <v>0</v>
      </c>
      <c r="E340" s="389">
        <f t="shared" si="144"/>
        <v>0</v>
      </c>
      <c r="F340" s="389">
        <f t="shared" si="144"/>
        <v>0</v>
      </c>
      <c r="G340" s="389">
        <f t="shared" si="144"/>
        <v>0</v>
      </c>
      <c r="H340" s="389">
        <f t="shared" si="144"/>
        <v>0</v>
      </c>
      <c r="I340" s="443"/>
      <c r="J340" s="443"/>
      <c r="K340" s="412"/>
    </row>
    <row r="341" spans="1:11" hidden="1">
      <c r="A341" s="395" t="s">
        <v>760</v>
      </c>
      <c r="B341" s="337">
        <f t="shared" ref="B341:H341" si="145">SUM(B342:B343)-B340</f>
        <v>0</v>
      </c>
      <c r="C341" s="337">
        <f t="shared" si="145"/>
        <v>0</v>
      </c>
      <c r="D341" s="389">
        <f t="shared" si="145"/>
        <v>0</v>
      </c>
      <c r="E341" s="389">
        <f t="shared" si="145"/>
        <v>0</v>
      </c>
      <c r="F341" s="389">
        <f t="shared" si="145"/>
        <v>0</v>
      </c>
      <c r="G341" s="389">
        <f t="shared" si="145"/>
        <v>0</v>
      </c>
      <c r="H341" s="389">
        <f t="shared" si="145"/>
        <v>0</v>
      </c>
      <c r="I341" s="443"/>
      <c r="J341" s="443"/>
      <c r="K341" s="413"/>
    </row>
    <row r="342" spans="1:11" hidden="1">
      <c r="A342" s="395" t="s">
        <v>761</v>
      </c>
      <c r="B342" s="337">
        <f t="shared" ref="B342:H342" si="146">+B36</f>
        <v>0</v>
      </c>
      <c r="C342" s="337">
        <f t="shared" si="146"/>
        <v>0</v>
      </c>
      <c r="D342" s="389">
        <f t="shared" si="146"/>
        <v>0</v>
      </c>
      <c r="E342" s="389">
        <f t="shared" si="146"/>
        <v>0</v>
      </c>
      <c r="F342" s="389">
        <f t="shared" si="146"/>
        <v>0</v>
      </c>
      <c r="G342" s="389">
        <f t="shared" si="146"/>
        <v>0</v>
      </c>
      <c r="H342" s="389">
        <f t="shared" si="146"/>
        <v>0</v>
      </c>
      <c r="I342" s="443"/>
      <c r="J342" s="443"/>
      <c r="K342" s="413"/>
    </row>
    <row r="343" spans="1:11" hidden="1">
      <c r="A343" s="395" t="s">
        <v>762</v>
      </c>
      <c r="B343" s="336">
        <f t="shared" ref="B343:H343" si="147">ROUND(B342/B68,0)</f>
        <v>0</v>
      </c>
      <c r="C343" s="336">
        <f t="shared" si="147"/>
        <v>0</v>
      </c>
      <c r="D343" s="389">
        <f t="shared" si="147"/>
        <v>0</v>
      </c>
      <c r="E343" s="389">
        <f t="shared" si="147"/>
        <v>0</v>
      </c>
      <c r="F343" s="389">
        <f t="shared" si="147"/>
        <v>0</v>
      </c>
      <c r="G343" s="389">
        <f t="shared" si="147"/>
        <v>0</v>
      </c>
      <c r="H343" s="389">
        <f t="shared" si="147"/>
        <v>0</v>
      </c>
      <c r="I343" s="443"/>
      <c r="J343" s="443"/>
      <c r="K343" s="412"/>
    </row>
    <row r="344" spans="1:11" hidden="1">
      <c r="A344" s="393"/>
      <c r="B344" s="321"/>
      <c r="C344" s="321"/>
      <c r="D344" s="346"/>
      <c r="E344" s="346"/>
      <c r="F344" s="346"/>
      <c r="G344" s="346"/>
      <c r="H344" s="346"/>
      <c r="I344" s="442"/>
      <c r="J344" s="442"/>
      <c r="K344" s="411"/>
    </row>
    <row r="345" spans="1:11" hidden="1">
      <c r="A345" s="651" t="s">
        <v>763</v>
      </c>
      <c r="B345" s="321"/>
      <c r="C345" s="321"/>
      <c r="D345" s="346"/>
      <c r="E345" s="346"/>
      <c r="F345" s="346"/>
      <c r="G345" s="346"/>
      <c r="H345" s="346"/>
      <c r="I345" s="442"/>
      <c r="J345" s="442"/>
      <c r="K345" s="411"/>
    </row>
    <row r="346" spans="1:11" hidden="1">
      <c r="A346" s="651" t="s">
        <v>764</v>
      </c>
      <c r="B346" s="580">
        <f>+'Input Sheet'!C101</f>
        <v>0</v>
      </c>
      <c r="C346" s="580">
        <f>+'Input Sheet'!D101</f>
        <v>0</v>
      </c>
      <c r="D346" s="580">
        <f>+'Input Sheet'!E101</f>
        <v>0</v>
      </c>
      <c r="E346" s="580">
        <f>+'Input Sheet'!F101</f>
        <v>0</v>
      </c>
      <c r="F346" s="580">
        <f>+'Input Sheet'!G101</f>
        <v>0</v>
      </c>
      <c r="G346" s="580">
        <f>+'Input Sheet'!H101</f>
        <v>0</v>
      </c>
      <c r="H346" s="580">
        <f>+'Input Sheet'!I101</f>
        <v>0</v>
      </c>
      <c r="I346" s="442"/>
      <c r="J346" s="442"/>
      <c r="K346" s="414"/>
    </row>
    <row r="347" spans="1:11" hidden="1">
      <c r="A347" s="651"/>
      <c r="B347" s="334"/>
      <c r="C347" s="408"/>
      <c r="D347" s="346"/>
      <c r="E347" s="346"/>
      <c r="F347" s="346"/>
      <c r="G347" s="346"/>
      <c r="H347" s="346"/>
      <c r="I347" s="442"/>
      <c r="J347" s="442"/>
      <c r="K347" s="414"/>
    </row>
    <row r="348" spans="1:11" hidden="1">
      <c r="A348" s="646" t="s">
        <v>765</v>
      </c>
      <c r="B348" s="409">
        <f>+B340*B346/100000</f>
        <v>0</v>
      </c>
      <c r="C348" s="344">
        <f t="shared" ref="C348:H348" si="148">+B349</f>
        <v>0</v>
      </c>
      <c r="D348" s="344">
        <f t="shared" si="148"/>
        <v>0</v>
      </c>
      <c r="E348" s="344">
        <f t="shared" si="148"/>
        <v>0</v>
      </c>
      <c r="F348" s="344">
        <f t="shared" si="148"/>
        <v>0</v>
      </c>
      <c r="G348" s="344">
        <f t="shared" si="148"/>
        <v>0</v>
      </c>
      <c r="H348" s="344">
        <f t="shared" si="148"/>
        <v>0</v>
      </c>
      <c r="I348" s="415"/>
      <c r="J348" s="415"/>
      <c r="K348" s="415"/>
    </row>
    <row r="349" spans="1:11" hidden="1">
      <c r="A349" s="646" t="s">
        <v>766</v>
      </c>
      <c r="B349" s="344">
        <f t="shared" ref="B349:H349" si="149">+B343*B346/100000</f>
        <v>0</v>
      </c>
      <c r="C349" s="344">
        <f t="shared" si="149"/>
        <v>0</v>
      </c>
      <c r="D349" s="344">
        <f t="shared" si="149"/>
        <v>0</v>
      </c>
      <c r="E349" s="344">
        <f t="shared" si="149"/>
        <v>0</v>
      </c>
      <c r="F349" s="344">
        <f t="shared" si="149"/>
        <v>0</v>
      </c>
      <c r="G349" s="344">
        <f t="shared" si="149"/>
        <v>0</v>
      </c>
      <c r="H349" s="344">
        <f t="shared" si="149"/>
        <v>0</v>
      </c>
      <c r="I349" s="415"/>
      <c r="J349" s="415"/>
      <c r="K349" s="415"/>
    </row>
    <row r="350" spans="1:11">
      <c r="A350" s="393"/>
      <c r="B350" s="321"/>
      <c r="C350" s="321"/>
      <c r="D350" s="346"/>
      <c r="E350" s="346"/>
      <c r="F350" s="346"/>
      <c r="G350" s="346"/>
      <c r="H350" s="346"/>
      <c r="I350" s="442"/>
      <c r="J350" s="442"/>
      <c r="K350" s="411"/>
    </row>
    <row r="351" spans="1:11">
      <c r="A351" s="651" t="s">
        <v>688</v>
      </c>
      <c r="B351" s="343">
        <f>+B300+B312</f>
        <v>0</v>
      </c>
      <c r="C351" s="343">
        <f t="shared" ref="C351:H351" si="150">B352</f>
        <v>9.2799999999999994</v>
      </c>
      <c r="D351" s="428">
        <f t="shared" si="150"/>
        <v>9.7439999999999998</v>
      </c>
      <c r="E351" s="428">
        <f t="shared" si="150"/>
        <v>10.231999999999999</v>
      </c>
      <c r="F351" s="428">
        <f t="shared" si="150"/>
        <v>10.744</v>
      </c>
      <c r="G351" s="428">
        <f t="shared" si="150"/>
        <v>11.28</v>
      </c>
      <c r="H351" s="428">
        <f t="shared" si="150"/>
        <v>11.843999999999999</v>
      </c>
      <c r="I351" s="444"/>
      <c r="J351" s="444"/>
      <c r="K351" s="416"/>
    </row>
    <row r="352" spans="1:11">
      <c r="A352" s="651" t="s">
        <v>689</v>
      </c>
      <c r="B352" s="343">
        <f>+B337+B325+B313+B301</f>
        <v>9.2799999999999994</v>
      </c>
      <c r="C352" s="343">
        <f t="shared" ref="C352:H352" si="151">+C337+C325+C313+C301</f>
        <v>9.7439999999999998</v>
      </c>
      <c r="D352" s="343">
        <f t="shared" si="151"/>
        <v>10.231999999999999</v>
      </c>
      <c r="E352" s="343">
        <f t="shared" si="151"/>
        <v>10.744</v>
      </c>
      <c r="F352" s="343">
        <f t="shared" si="151"/>
        <v>11.28</v>
      </c>
      <c r="G352" s="343">
        <f t="shared" si="151"/>
        <v>11.843999999999999</v>
      </c>
      <c r="H352" s="343">
        <f t="shared" si="151"/>
        <v>12.436</v>
      </c>
      <c r="I352" s="444"/>
      <c r="J352" s="444"/>
      <c r="K352" s="416"/>
    </row>
    <row r="354" spans="1:12">
      <c r="A354" s="673"/>
    </row>
    <row r="355" spans="1:12" ht="37.5">
      <c r="A355" s="674" t="s">
        <v>866</v>
      </c>
      <c r="D355"/>
      <c r="E355"/>
      <c r="F355"/>
      <c r="G355"/>
      <c r="H355"/>
      <c r="I355"/>
      <c r="J355"/>
    </row>
    <row r="356" spans="1:12">
      <c r="D356"/>
      <c r="E356"/>
      <c r="F356"/>
      <c r="G356"/>
      <c r="H356"/>
      <c r="I356"/>
      <c r="J356"/>
    </row>
    <row r="357" spans="1:12">
      <c r="A357" s="675" t="s">
        <v>679</v>
      </c>
      <c r="B357" s="330" t="s">
        <v>0</v>
      </c>
      <c r="C357" s="584" t="s">
        <v>2</v>
      </c>
      <c r="D357" s="584" t="s">
        <v>3</v>
      </c>
      <c r="E357" s="584" t="s">
        <v>4</v>
      </c>
      <c r="F357" s="584" t="s">
        <v>5</v>
      </c>
      <c r="G357" s="584" t="s">
        <v>6</v>
      </c>
      <c r="H357" s="584" t="s">
        <v>164</v>
      </c>
      <c r="I357" s="587" t="s">
        <v>163</v>
      </c>
      <c r="J357" s="590">
        <v>5</v>
      </c>
      <c r="K357" s="403"/>
      <c r="L357" s="403"/>
    </row>
    <row r="358" spans="1:12">
      <c r="A358" s="663" t="s">
        <v>168</v>
      </c>
      <c r="B358" s="320" t="s">
        <v>867</v>
      </c>
      <c r="C358" s="336">
        <f>+'Input Sheet'!D219</f>
        <v>10</v>
      </c>
      <c r="D358" s="336">
        <f>+'Input Sheet'!E219</f>
        <v>11</v>
      </c>
      <c r="E358" s="336">
        <f>+'Input Sheet'!F219</f>
        <v>12</v>
      </c>
      <c r="F358" s="336">
        <f>+'Input Sheet'!G219</f>
        <v>13</v>
      </c>
      <c r="G358" s="336">
        <f>+'Input Sheet'!H219</f>
        <v>14</v>
      </c>
      <c r="H358" s="336">
        <f>+'Input Sheet'!I219</f>
        <v>15</v>
      </c>
      <c r="I358" s="336">
        <f>+'Input Sheet'!J219</f>
        <v>16</v>
      </c>
      <c r="J358" s="591"/>
      <c r="K358" s="404"/>
      <c r="L358" s="404"/>
    </row>
    <row r="359" spans="1:12">
      <c r="A359" s="393"/>
      <c r="B359" s="336" t="s">
        <v>868</v>
      </c>
      <c r="C359" s="342">
        <f t="shared" ref="C359:I359" si="152">+B69</f>
        <v>150</v>
      </c>
      <c r="D359" s="342">
        <f t="shared" si="152"/>
        <v>165</v>
      </c>
      <c r="E359" s="342">
        <f t="shared" si="152"/>
        <v>180</v>
      </c>
      <c r="F359" s="342">
        <f t="shared" si="152"/>
        <v>195</v>
      </c>
      <c r="G359" s="342">
        <f t="shared" si="152"/>
        <v>210</v>
      </c>
      <c r="H359" s="342">
        <f t="shared" si="152"/>
        <v>225</v>
      </c>
      <c r="I359" s="342">
        <f t="shared" si="152"/>
        <v>240</v>
      </c>
      <c r="J359" s="592"/>
      <c r="K359" s="405"/>
      <c r="L359" s="405"/>
    </row>
    <row r="360" spans="1:12">
      <c r="A360" s="393"/>
      <c r="B360" s="336" t="s">
        <v>869</v>
      </c>
      <c r="C360" s="342">
        <f>+'Input Sheet'!D220</f>
        <v>200</v>
      </c>
      <c r="D360" s="342">
        <f>+'Input Sheet'!E220</f>
        <v>210</v>
      </c>
      <c r="E360" s="342">
        <f>+'Input Sheet'!F220</f>
        <v>220</v>
      </c>
      <c r="F360" s="342">
        <f>+'Input Sheet'!G220</f>
        <v>230</v>
      </c>
      <c r="G360" s="342">
        <f>+'Input Sheet'!H220</f>
        <v>240</v>
      </c>
      <c r="H360" s="342">
        <f>+'Input Sheet'!I220</f>
        <v>250</v>
      </c>
      <c r="I360" s="342">
        <f>+'Input Sheet'!J220</f>
        <v>260</v>
      </c>
      <c r="J360" s="592"/>
      <c r="K360" s="405"/>
      <c r="L360" s="405"/>
    </row>
    <row r="361" spans="1:12">
      <c r="A361" s="393"/>
      <c r="B361" s="320" t="s">
        <v>124</v>
      </c>
      <c r="C361" s="343">
        <f>+C358*C359*C360/100000</f>
        <v>3</v>
      </c>
      <c r="D361" s="343">
        <f t="shared" ref="D361:I361" si="153">+D358*D359*D360/100000</f>
        <v>3.8115000000000001</v>
      </c>
      <c r="E361" s="343">
        <f t="shared" si="153"/>
        <v>4.7519999999999998</v>
      </c>
      <c r="F361" s="343">
        <f t="shared" si="153"/>
        <v>5.8304999999999998</v>
      </c>
      <c r="G361" s="343">
        <f t="shared" si="153"/>
        <v>7.056</v>
      </c>
      <c r="H361" s="343">
        <f t="shared" si="153"/>
        <v>8.4375</v>
      </c>
      <c r="I361" s="343">
        <f t="shared" si="153"/>
        <v>9.984</v>
      </c>
      <c r="J361" s="593"/>
      <c r="K361" s="407"/>
      <c r="L361" s="407"/>
    </row>
    <row r="362" spans="1:12">
      <c r="A362" s="393"/>
      <c r="B362" s="320"/>
      <c r="C362" s="343"/>
      <c r="D362" s="343"/>
      <c r="E362" s="343"/>
      <c r="F362" s="343"/>
      <c r="G362" s="343"/>
      <c r="H362" s="343"/>
      <c r="I362" s="343"/>
      <c r="J362" s="593"/>
      <c r="K362" s="407"/>
      <c r="L362" s="407"/>
    </row>
    <row r="363" spans="1:12">
      <c r="A363" s="663" t="s">
        <v>169</v>
      </c>
      <c r="B363" s="320" t="s">
        <v>870</v>
      </c>
      <c r="C363" s="336">
        <v>10</v>
      </c>
      <c r="D363" s="336">
        <f>+ROUND(C363*1.05,)</f>
        <v>11</v>
      </c>
      <c r="E363" s="336">
        <f t="shared" ref="E363:I363" si="154">+ROUND(D363*1.05,)</f>
        <v>12</v>
      </c>
      <c r="F363" s="336">
        <f t="shared" si="154"/>
        <v>13</v>
      </c>
      <c r="G363" s="336">
        <f t="shared" si="154"/>
        <v>14</v>
      </c>
      <c r="H363" s="336">
        <f t="shared" si="154"/>
        <v>15</v>
      </c>
      <c r="I363" s="336">
        <f t="shared" si="154"/>
        <v>16</v>
      </c>
      <c r="J363" s="591"/>
      <c r="K363" s="404"/>
      <c r="L363" s="404"/>
    </row>
    <row r="364" spans="1:12">
      <c r="A364" s="393"/>
      <c r="B364" s="336" t="s">
        <v>868</v>
      </c>
      <c r="C364" s="342">
        <f>+C359</f>
        <v>150</v>
      </c>
      <c r="D364" s="342">
        <f t="shared" ref="D364:I364" si="155">+D359</f>
        <v>165</v>
      </c>
      <c r="E364" s="342">
        <f t="shared" si="155"/>
        <v>180</v>
      </c>
      <c r="F364" s="342">
        <f t="shared" si="155"/>
        <v>195</v>
      </c>
      <c r="G364" s="342">
        <f t="shared" si="155"/>
        <v>210</v>
      </c>
      <c r="H364" s="342">
        <f t="shared" si="155"/>
        <v>225</v>
      </c>
      <c r="I364" s="342">
        <f t="shared" si="155"/>
        <v>240</v>
      </c>
      <c r="J364" s="592"/>
      <c r="K364" s="405"/>
      <c r="L364" s="405"/>
    </row>
    <row r="365" spans="1:12">
      <c r="A365" s="393"/>
      <c r="B365" s="336" t="s">
        <v>869</v>
      </c>
      <c r="C365" s="342">
        <f>+'Input Sheet'!D223</f>
        <v>100</v>
      </c>
      <c r="D365" s="342">
        <f>+'Input Sheet'!E223</f>
        <v>110</v>
      </c>
      <c r="E365" s="342">
        <f>+'Input Sheet'!F223</f>
        <v>120</v>
      </c>
      <c r="F365" s="342">
        <f>+'Input Sheet'!G223</f>
        <v>130</v>
      </c>
      <c r="G365" s="342">
        <f>+'Input Sheet'!H223</f>
        <v>140</v>
      </c>
      <c r="H365" s="342">
        <f>+'Input Sheet'!I223</f>
        <v>150</v>
      </c>
      <c r="I365" s="342">
        <f>+'Input Sheet'!J223</f>
        <v>160</v>
      </c>
      <c r="J365" s="592"/>
      <c r="K365" s="405"/>
      <c r="L365" s="405"/>
    </row>
    <row r="366" spans="1:12">
      <c r="A366" s="393"/>
      <c r="B366" s="320" t="s">
        <v>124</v>
      </c>
      <c r="C366" s="343">
        <f>+C363*C364*C365/100000</f>
        <v>1.5</v>
      </c>
      <c r="D366" s="343">
        <f t="shared" ref="D366:I366" si="156">+D363*D364*D365/100000</f>
        <v>1.9964999999999999</v>
      </c>
      <c r="E366" s="343">
        <f t="shared" si="156"/>
        <v>2.5920000000000001</v>
      </c>
      <c r="F366" s="343">
        <f t="shared" si="156"/>
        <v>3.2955000000000001</v>
      </c>
      <c r="G366" s="343">
        <f t="shared" si="156"/>
        <v>4.1159999999999997</v>
      </c>
      <c r="H366" s="343">
        <f t="shared" si="156"/>
        <v>5.0625</v>
      </c>
      <c r="I366" s="343">
        <f t="shared" si="156"/>
        <v>6.1440000000000001</v>
      </c>
      <c r="J366" s="593"/>
      <c r="K366" s="407"/>
      <c r="L366" s="407"/>
    </row>
    <row r="367" spans="1:12">
      <c r="A367" s="676"/>
      <c r="B367" s="10"/>
      <c r="C367" s="10"/>
      <c r="D367" s="10"/>
      <c r="E367" s="10"/>
      <c r="F367" s="10"/>
      <c r="G367" s="10"/>
      <c r="H367" s="10"/>
      <c r="I367" s="10"/>
      <c r="J367" s="451"/>
      <c r="K367" s="251"/>
      <c r="L367" s="251"/>
    </row>
    <row r="368" spans="1:12">
      <c r="A368" s="676"/>
      <c r="B368" s="2" t="s">
        <v>871</v>
      </c>
      <c r="C368" s="585">
        <f>+C361+C366</f>
        <v>4.5</v>
      </c>
      <c r="D368" s="585">
        <f t="shared" ref="D368:I368" si="157">+D361+D366</f>
        <v>5.8079999999999998</v>
      </c>
      <c r="E368" s="585">
        <f t="shared" si="157"/>
        <v>7.3439999999999994</v>
      </c>
      <c r="F368" s="585">
        <f t="shared" si="157"/>
        <v>9.1259999999999994</v>
      </c>
      <c r="G368" s="585">
        <f t="shared" si="157"/>
        <v>11.172000000000001</v>
      </c>
      <c r="H368" s="585">
        <f t="shared" si="157"/>
        <v>13.5</v>
      </c>
      <c r="I368" s="585">
        <f t="shared" si="157"/>
        <v>16.128</v>
      </c>
      <c r="J368" s="594"/>
      <c r="K368" s="589"/>
      <c r="L368" s="589"/>
    </row>
    <row r="373" spans="1:12" ht="30">
      <c r="A373" s="637" t="s">
        <v>351</v>
      </c>
      <c r="B373" s="638" t="s">
        <v>969</v>
      </c>
      <c r="C373" s="639" t="s">
        <v>970</v>
      </c>
      <c r="D373" s="772" t="s">
        <v>971</v>
      </c>
      <c r="E373" s="772" t="s">
        <v>972</v>
      </c>
      <c r="F373" s="774" t="s">
        <v>973</v>
      </c>
      <c r="G373" s="775"/>
      <c r="H373" s="775"/>
      <c r="I373" s="775"/>
      <c r="J373" s="775"/>
      <c r="K373" s="775"/>
      <c r="L373" s="775"/>
    </row>
    <row r="374" spans="1:12">
      <c r="A374" s="640" t="s">
        <v>974</v>
      </c>
      <c r="B374" s="640"/>
      <c r="C374" s="641" t="s">
        <v>975</v>
      </c>
      <c r="D374" s="773"/>
      <c r="E374" s="773"/>
      <c r="F374" s="642" t="s">
        <v>2</v>
      </c>
      <c r="G374" s="642" t="s">
        <v>3</v>
      </c>
      <c r="H374" s="642" t="s">
        <v>4</v>
      </c>
      <c r="I374" s="642" t="s">
        <v>5</v>
      </c>
      <c r="J374" s="642" t="s">
        <v>6</v>
      </c>
      <c r="K374" s="642" t="s">
        <v>164</v>
      </c>
      <c r="L374" s="642" t="s">
        <v>163</v>
      </c>
    </row>
    <row r="375" spans="1:12">
      <c r="A375" s="643" t="s">
        <v>976</v>
      </c>
      <c r="B375" s="393"/>
      <c r="C375" s="393"/>
      <c r="D375" s="393"/>
      <c r="E375" s="393"/>
      <c r="F375" s="644">
        <v>0.4</v>
      </c>
      <c r="G375" s="645">
        <v>0.5</v>
      </c>
      <c r="H375" s="645">
        <f t="shared" ref="H375:J375" si="158">+G375+5%</f>
        <v>0.55000000000000004</v>
      </c>
      <c r="I375" s="645">
        <f t="shared" si="158"/>
        <v>0.60000000000000009</v>
      </c>
      <c r="J375" s="645">
        <f t="shared" si="158"/>
        <v>0.65000000000000013</v>
      </c>
      <c r="K375" s="645">
        <f>+J375</f>
        <v>0.65000000000000013</v>
      </c>
      <c r="L375" s="645">
        <v>0.7</v>
      </c>
    </row>
    <row r="376" spans="1:12">
      <c r="A376" s="643" t="s">
        <v>979</v>
      </c>
      <c r="B376" s="393">
        <v>1</v>
      </c>
      <c r="C376" s="393">
        <v>1000</v>
      </c>
      <c r="D376" s="393">
        <v>2500</v>
      </c>
      <c r="E376" s="393" t="s">
        <v>977</v>
      </c>
      <c r="F376" s="393">
        <f t="shared" ref="F376:L376" si="159">($B$376*$C$376*$D$376/100000)*F375</f>
        <v>10</v>
      </c>
      <c r="G376" s="393">
        <f t="shared" si="159"/>
        <v>12.5</v>
      </c>
      <c r="H376" s="393">
        <f t="shared" si="159"/>
        <v>13.750000000000002</v>
      </c>
      <c r="I376" s="393">
        <f t="shared" si="159"/>
        <v>15.000000000000002</v>
      </c>
      <c r="J376" s="393">
        <f t="shared" si="159"/>
        <v>16.250000000000004</v>
      </c>
      <c r="K376" s="393">
        <f t="shared" si="159"/>
        <v>16.250000000000004</v>
      </c>
      <c r="L376" s="393">
        <f t="shared" si="159"/>
        <v>17.5</v>
      </c>
    </row>
    <row r="377" spans="1:12">
      <c r="A377" s="646" t="s">
        <v>138</v>
      </c>
      <c r="B377" s="646"/>
      <c r="C377" s="646"/>
      <c r="D377" s="646"/>
      <c r="E377" s="646"/>
      <c r="F377" s="647">
        <f t="shared" ref="F377:L377" si="160">SUM(F376:F376)</f>
        <v>10</v>
      </c>
      <c r="G377" s="647">
        <f t="shared" si="160"/>
        <v>12.5</v>
      </c>
      <c r="H377" s="647">
        <f t="shared" si="160"/>
        <v>13.750000000000002</v>
      </c>
      <c r="I377" s="647">
        <f t="shared" si="160"/>
        <v>15.000000000000002</v>
      </c>
      <c r="J377" s="647">
        <f t="shared" si="160"/>
        <v>16.250000000000004</v>
      </c>
      <c r="K377" s="647">
        <f t="shared" si="160"/>
        <v>16.250000000000004</v>
      </c>
      <c r="L377" s="647">
        <f t="shared" si="160"/>
        <v>17.5</v>
      </c>
    </row>
  </sheetData>
  <mergeCells count="8">
    <mergeCell ref="D373:D374"/>
    <mergeCell ref="E373:E374"/>
    <mergeCell ref="F373:L373"/>
    <mergeCell ref="A133:I133"/>
    <mergeCell ref="A3:H3"/>
    <mergeCell ref="A74:J74"/>
    <mergeCell ref="A4:H4"/>
    <mergeCell ref="A14:H14"/>
  </mergeCells>
  <pageMargins left="0.25" right="0.25" top="0.75" bottom="0.75" header="0.3" footer="0.3"/>
  <pageSetup paperSize="9" scale="46" fitToHeight="0" orientation="portrait" r:id="rId1"/>
  <rowBreaks count="3" manualBreakCount="3">
    <brk id="71" max="16383" man="1"/>
    <brk id="255" max="15" man="1"/>
    <brk id="283" max="15"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opLeftCell="A72" zoomScale="55" zoomScaleNormal="55" workbookViewId="0">
      <selection activeCell="C110" sqref="C110:I113"/>
    </sheetView>
  </sheetViews>
  <sheetFormatPr defaultColWidth="9.140625" defaultRowHeight="15"/>
  <cols>
    <col min="1" max="1" width="4" style="562" bestFit="1" customWidth="1"/>
    <col min="2" max="2" width="76.28515625" style="558" bestFit="1" customWidth="1"/>
    <col min="3" max="3" width="23.7109375" style="558" bestFit="1" customWidth="1"/>
    <col min="4" max="4" width="19.85546875" style="558" bestFit="1" customWidth="1"/>
    <col min="5" max="12" width="12.28515625" style="558" bestFit="1" customWidth="1"/>
    <col min="13" max="16384" width="9.140625" style="558"/>
  </cols>
  <sheetData>
    <row r="1" spans="1:4">
      <c r="A1" s="556"/>
      <c r="B1" s="557" t="s">
        <v>831</v>
      </c>
    </row>
    <row r="2" spans="1:4">
      <c r="A2" s="559">
        <v>1</v>
      </c>
      <c r="B2" s="560" t="s">
        <v>832</v>
      </c>
    </row>
    <row r="3" spans="1:4">
      <c r="A3" s="561" t="s">
        <v>230</v>
      </c>
      <c r="B3" s="558" t="s">
        <v>833</v>
      </c>
      <c r="C3" s="558" t="s">
        <v>834</v>
      </c>
    </row>
    <row r="4" spans="1:4">
      <c r="A4" s="561" t="s">
        <v>231</v>
      </c>
      <c r="B4" s="558" t="s">
        <v>835</v>
      </c>
      <c r="C4" s="558" t="s">
        <v>836</v>
      </c>
    </row>
    <row r="5" spans="1:4">
      <c r="C5" s="560" t="s">
        <v>861</v>
      </c>
    </row>
    <row r="6" spans="1:4">
      <c r="A6" s="562">
        <v>1.1000000000000001</v>
      </c>
      <c r="B6" s="321" t="s">
        <v>929</v>
      </c>
      <c r="C6" s="564">
        <v>1</v>
      </c>
    </row>
    <row r="7" spans="1:4">
      <c r="B7" s="321" t="s">
        <v>900</v>
      </c>
      <c r="C7" s="564">
        <v>0</v>
      </c>
    </row>
    <row r="8" spans="1:4">
      <c r="B8" s="321" t="s">
        <v>903</v>
      </c>
      <c r="C8" s="564">
        <v>0</v>
      </c>
    </row>
    <row r="9" spans="1:4">
      <c r="B9" s="321" t="s">
        <v>905</v>
      </c>
      <c r="C9" s="564">
        <v>0</v>
      </c>
    </row>
    <row r="10" spans="1:4">
      <c r="B10" s="321" t="s">
        <v>669</v>
      </c>
      <c r="C10" s="564">
        <v>0</v>
      </c>
    </row>
    <row r="16" spans="1:4">
      <c r="A16" s="559">
        <v>2</v>
      </c>
      <c r="B16" s="560" t="s">
        <v>16</v>
      </c>
      <c r="C16" s="560" t="s">
        <v>837</v>
      </c>
      <c r="D16" s="560" t="s">
        <v>838</v>
      </c>
    </row>
    <row r="17" spans="1:12">
      <c r="B17" s="558" t="s">
        <v>202</v>
      </c>
      <c r="C17" s="563">
        <v>3.1699999999999999E-2</v>
      </c>
      <c r="D17" s="563">
        <v>6.3299999999999995E-2</v>
      </c>
    </row>
    <row r="18" spans="1:12">
      <c r="B18" s="558" t="s">
        <v>203</v>
      </c>
      <c r="C18" s="564">
        <v>0.1</v>
      </c>
      <c r="D18" s="564">
        <v>0.15</v>
      </c>
    </row>
    <row r="20" spans="1:12">
      <c r="A20" s="559">
        <v>3</v>
      </c>
      <c r="B20" s="560" t="s">
        <v>839</v>
      </c>
      <c r="C20" s="560" t="s">
        <v>899</v>
      </c>
    </row>
    <row r="21" spans="1:12">
      <c r="A21" s="559" t="s">
        <v>947</v>
      </c>
      <c r="B21" s="560" t="s">
        <v>909</v>
      </c>
      <c r="C21" s="560" t="s">
        <v>875</v>
      </c>
    </row>
    <row r="22" spans="1:12">
      <c r="A22" s="559" t="s">
        <v>948</v>
      </c>
      <c r="B22" s="560" t="s">
        <v>950</v>
      </c>
      <c r="C22" s="560">
        <v>1000</v>
      </c>
      <c r="D22" s="558" t="s">
        <v>289</v>
      </c>
    </row>
    <row r="24" spans="1:12">
      <c r="A24" s="559">
        <v>4</v>
      </c>
      <c r="B24" s="560" t="s">
        <v>840</v>
      </c>
      <c r="C24" s="403" t="s">
        <v>2</v>
      </c>
      <c r="D24" s="403" t="s">
        <v>3</v>
      </c>
      <c r="E24" s="403" t="s">
        <v>4</v>
      </c>
      <c r="F24" s="403" t="s">
        <v>5</v>
      </c>
      <c r="G24" s="403" t="s">
        <v>6</v>
      </c>
      <c r="H24" s="403" t="s">
        <v>164</v>
      </c>
      <c r="I24" s="403" t="s">
        <v>163</v>
      </c>
      <c r="J24" s="403" t="s">
        <v>676</v>
      </c>
      <c r="K24" s="403" t="s">
        <v>677</v>
      </c>
      <c r="L24" s="403" t="s">
        <v>678</v>
      </c>
    </row>
    <row r="25" spans="1:12">
      <c r="A25" s="561" t="s">
        <v>230</v>
      </c>
      <c r="B25" s="404" t="s">
        <v>841</v>
      </c>
      <c r="C25" s="565">
        <v>0.5</v>
      </c>
      <c r="D25" s="565">
        <f>+C25+5%</f>
        <v>0.55000000000000004</v>
      </c>
      <c r="E25" s="565">
        <f t="shared" ref="E25:L25" si="0">+D25+5%</f>
        <v>0.60000000000000009</v>
      </c>
      <c r="F25" s="565">
        <f t="shared" si="0"/>
        <v>0.65000000000000013</v>
      </c>
      <c r="G25" s="565">
        <f t="shared" si="0"/>
        <v>0.70000000000000018</v>
      </c>
      <c r="H25" s="565">
        <f t="shared" si="0"/>
        <v>0.75000000000000022</v>
      </c>
      <c r="I25" s="565">
        <f t="shared" si="0"/>
        <v>0.80000000000000027</v>
      </c>
      <c r="J25" s="565">
        <f t="shared" si="0"/>
        <v>0.85000000000000031</v>
      </c>
      <c r="K25" s="565">
        <f t="shared" si="0"/>
        <v>0.90000000000000036</v>
      </c>
      <c r="L25" s="565">
        <f t="shared" si="0"/>
        <v>0.9500000000000004</v>
      </c>
    </row>
    <row r="26" spans="1:12">
      <c r="A26" s="561" t="s">
        <v>231</v>
      </c>
      <c r="B26" s="404" t="s">
        <v>660</v>
      </c>
      <c r="C26" s="565">
        <v>0.5</v>
      </c>
      <c r="D26" s="565">
        <f>+C26+5%</f>
        <v>0.55000000000000004</v>
      </c>
      <c r="E26" s="565">
        <f t="shared" ref="E26:L26" si="1">+D26+5%</f>
        <v>0.60000000000000009</v>
      </c>
      <c r="F26" s="565">
        <f t="shared" si="1"/>
        <v>0.65000000000000013</v>
      </c>
      <c r="G26" s="565">
        <f t="shared" si="1"/>
        <v>0.70000000000000018</v>
      </c>
      <c r="H26" s="565">
        <f t="shared" si="1"/>
        <v>0.75000000000000022</v>
      </c>
      <c r="I26" s="565">
        <f t="shared" si="1"/>
        <v>0.80000000000000027</v>
      </c>
      <c r="J26" s="565">
        <f t="shared" si="1"/>
        <v>0.85000000000000031</v>
      </c>
      <c r="K26" s="565">
        <f t="shared" si="1"/>
        <v>0.90000000000000036</v>
      </c>
      <c r="L26" s="565">
        <f t="shared" si="1"/>
        <v>0.9500000000000004</v>
      </c>
    </row>
    <row r="28" spans="1:12">
      <c r="A28" s="559">
        <v>5</v>
      </c>
      <c r="B28" s="322" t="s">
        <v>930</v>
      </c>
    </row>
    <row r="29" spans="1:12">
      <c r="A29" s="561" t="s">
        <v>230</v>
      </c>
      <c r="B29" s="336" t="s">
        <v>936</v>
      </c>
      <c r="C29" s="566">
        <v>0.5</v>
      </c>
    </row>
    <row r="30" spans="1:12">
      <c r="A30" s="561" t="s">
        <v>231</v>
      </c>
      <c r="B30" s="336" t="s">
        <v>937</v>
      </c>
      <c r="C30" s="566">
        <v>0.2</v>
      </c>
    </row>
    <row r="31" spans="1:12">
      <c r="A31" s="561" t="s">
        <v>267</v>
      </c>
      <c r="B31" s="336" t="s">
        <v>938</v>
      </c>
      <c r="C31" s="566">
        <v>0.2</v>
      </c>
    </row>
    <row r="32" spans="1:12">
      <c r="A32" s="561" t="s">
        <v>269</v>
      </c>
      <c r="B32" s="404" t="s">
        <v>858</v>
      </c>
      <c r="C32" s="566">
        <v>0.08</v>
      </c>
    </row>
    <row r="33" spans="1:3">
      <c r="A33" s="561" t="s">
        <v>322</v>
      </c>
      <c r="B33" s="404" t="s">
        <v>859</v>
      </c>
      <c r="C33" s="566">
        <v>0</v>
      </c>
    </row>
    <row r="34" spans="1:3">
      <c r="A34" s="561"/>
      <c r="B34" s="404"/>
      <c r="C34" s="566"/>
    </row>
    <row r="35" spans="1:3">
      <c r="A35" s="559">
        <v>5</v>
      </c>
      <c r="B35" s="322" t="s">
        <v>901</v>
      </c>
    </row>
    <row r="36" spans="1:3">
      <c r="A36" s="561" t="s">
        <v>230</v>
      </c>
      <c r="B36" s="336" t="s">
        <v>910</v>
      </c>
      <c r="C36" s="566">
        <v>0.5</v>
      </c>
    </row>
    <row r="37" spans="1:3">
      <c r="A37" s="561" t="s">
        <v>231</v>
      </c>
      <c r="B37" s="336" t="s">
        <v>911</v>
      </c>
      <c r="C37" s="566">
        <v>0.45</v>
      </c>
    </row>
    <row r="38" spans="1:3">
      <c r="A38" s="561" t="s">
        <v>267</v>
      </c>
      <c r="B38" s="336" t="s">
        <v>671</v>
      </c>
      <c r="C38" s="566">
        <v>0.05</v>
      </c>
    </row>
    <row r="39" spans="1:3">
      <c r="A39" s="561" t="s">
        <v>269</v>
      </c>
      <c r="B39" s="404" t="s">
        <v>858</v>
      </c>
      <c r="C39" s="566">
        <v>0</v>
      </c>
    </row>
    <row r="40" spans="1:3">
      <c r="A40" s="561" t="s">
        <v>322</v>
      </c>
      <c r="B40" s="404" t="s">
        <v>859</v>
      </c>
      <c r="C40" s="566">
        <v>0</v>
      </c>
    </row>
    <row r="41" spans="1:3">
      <c r="A41" s="561"/>
      <c r="B41" s="404"/>
      <c r="C41" s="566"/>
    </row>
    <row r="42" spans="1:3">
      <c r="A42" s="559">
        <v>5</v>
      </c>
      <c r="B42" s="322" t="s">
        <v>904</v>
      </c>
    </row>
    <row r="43" spans="1:3">
      <c r="A43" s="561" t="s">
        <v>230</v>
      </c>
      <c r="B43" s="336" t="s">
        <v>910</v>
      </c>
      <c r="C43" s="566">
        <v>0.5</v>
      </c>
    </row>
    <row r="44" spans="1:3">
      <c r="A44" s="561" t="s">
        <v>231</v>
      </c>
      <c r="B44" s="336" t="s">
        <v>911</v>
      </c>
      <c r="C44" s="566">
        <v>0.45</v>
      </c>
    </row>
    <row r="45" spans="1:3">
      <c r="A45" s="561" t="s">
        <v>267</v>
      </c>
      <c r="B45" s="336" t="s">
        <v>671</v>
      </c>
      <c r="C45" s="566">
        <v>0.05</v>
      </c>
    </row>
    <row r="46" spans="1:3">
      <c r="A46" s="561"/>
      <c r="B46" s="404"/>
      <c r="C46" s="566"/>
    </row>
    <row r="47" spans="1:3">
      <c r="A47" s="559">
        <v>5</v>
      </c>
      <c r="B47" s="555" t="s">
        <v>906</v>
      </c>
    </row>
    <row r="48" spans="1:3">
      <c r="A48" s="561" t="s">
        <v>230</v>
      </c>
      <c r="B48" s="336" t="s">
        <v>910</v>
      </c>
      <c r="C48" s="566">
        <v>0.5</v>
      </c>
    </row>
    <row r="49" spans="1:3">
      <c r="A49" s="561" t="s">
        <v>231</v>
      </c>
      <c r="B49" s="336" t="s">
        <v>911</v>
      </c>
      <c r="C49" s="566">
        <v>0.45</v>
      </c>
    </row>
    <row r="50" spans="1:3">
      <c r="A50" s="561" t="s">
        <v>267</v>
      </c>
      <c r="B50" s="336" t="s">
        <v>671</v>
      </c>
      <c r="C50" s="566">
        <v>0.05</v>
      </c>
    </row>
    <row r="51" spans="1:3">
      <c r="A51" s="561"/>
      <c r="B51" s="404"/>
      <c r="C51" s="566"/>
    </row>
    <row r="52" spans="1:3" hidden="1">
      <c r="A52" s="559">
        <v>5</v>
      </c>
      <c r="B52" s="555" t="s">
        <v>672</v>
      </c>
    </row>
    <row r="53" spans="1:3" hidden="1">
      <c r="A53" s="561" t="s">
        <v>230</v>
      </c>
      <c r="B53" s="404" t="s">
        <v>673</v>
      </c>
      <c r="C53" s="566">
        <v>0</v>
      </c>
    </row>
    <row r="54" spans="1:3" hidden="1">
      <c r="A54" s="561" t="s">
        <v>231</v>
      </c>
      <c r="B54" s="404" t="s">
        <v>674</v>
      </c>
      <c r="C54" s="566">
        <v>0</v>
      </c>
    </row>
    <row r="55" spans="1:3" hidden="1">
      <c r="A55" s="561" t="s">
        <v>267</v>
      </c>
      <c r="B55" s="404" t="s">
        <v>671</v>
      </c>
      <c r="C55" s="566">
        <v>0</v>
      </c>
    </row>
    <row r="56" spans="1:3">
      <c r="A56" s="561"/>
      <c r="B56" s="404"/>
      <c r="C56" s="566"/>
    </row>
    <row r="57" spans="1:3">
      <c r="A57" s="559">
        <v>5</v>
      </c>
      <c r="B57" s="555" t="s">
        <v>931</v>
      </c>
    </row>
    <row r="58" spans="1:3">
      <c r="A58" s="561" t="s">
        <v>230</v>
      </c>
      <c r="B58" s="336" t="s">
        <v>932</v>
      </c>
      <c r="C58" s="566">
        <v>0.73</v>
      </c>
    </row>
    <row r="59" spans="1:3">
      <c r="A59" s="561" t="s">
        <v>231</v>
      </c>
      <c r="B59" s="336" t="s">
        <v>927</v>
      </c>
      <c r="C59" s="566">
        <v>0.25</v>
      </c>
    </row>
    <row r="60" spans="1:3">
      <c r="A60" s="561" t="s">
        <v>267</v>
      </c>
      <c r="B60" s="336" t="s">
        <v>671</v>
      </c>
      <c r="C60" s="566">
        <v>0.02</v>
      </c>
    </row>
    <row r="61" spans="1:3">
      <c r="A61" s="561"/>
      <c r="B61" s="404"/>
      <c r="C61" s="566"/>
    </row>
    <row r="62" spans="1:3">
      <c r="A62" s="561"/>
      <c r="B62" s="404"/>
      <c r="C62" s="566"/>
    </row>
    <row r="63" spans="1:3">
      <c r="A63" s="559">
        <v>5</v>
      </c>
      <c r="B63" s="555" t="s">
        <v>924</v>
      </c>
    </row>
    <row r="64" spans="1:3">
      <c r="A64" s="561" t="s">
        <v>230</v>
      </c>
      <c r="B64" s="336" t="s">
        <v>915</v>
      </c>
      <c r="C64" s="566">
        <v>0.73</v>
      </c>
    </row>
    <row r="65" spans="1:3">
      <c r="A65" s="561" t="s">
        <v>231</v>
      </c>
      <c r="B65" s="336" t="s">
        <v>927</v>
      </c>
      <c r="C65" s="566">
        <v>0.25</v>
      </c>
    </row>
    <row r="66" spans="1:3">
      <c r="A66" s="561" t="s">
        <v>267</v>
      </c>
      <c r="B66" s="336" t="s">
        <v>671</v>
      </c>
      <c r="C66" s="566">
        <v>0.02</v>
      </c>
    </row>
    <row r="67" spans="1:3">
      <c r="A67" s="561"/>
      <c r="B67" s="404"/>
      <c r="C67" s="566"/>
    </row>
    <row r="68" spans="1:3">
      <c r="A68" s="561"/>
      <c r="B68" s="404"/>
      <c r="C68" s="566"/>
    </row>
    <row r="69" spans="1:3">
      <c r="A69" s="559">
        <v>5</v>
      </c>
      <c r="B69" s="555" t="s">
        <v>925</v>
      </c>
    </row>
    <row r="70" spans="1:3">
      <c r="A70" s="561" t="s">
        <v>230</v>
      </c>
      <c r="B70" s="336" t="s">
        <v>916</v>
      </c>
      <c r="C70" s="566">
        <v>0.73</v>
      </c>
    </row>
    <row r="71" spans="1:3">
      <c r="A71" s="561" t="s">
        <v>231</v>
      </c>
      <c r="B71" s="336" t="s">
        <v>927</v>
      </c>
      <c r="C71" s="566">
        <v>0.25</v>
      </c>
    </row>
    <row r="72" spans="1:3">
      <c r="A72" s="561" t="s">
        <v>267</v>
      </c>
      <c r="B72" s="336" t="s">
        <v>671</v>
      </c>
      <c r="C72" s="566">
        <v>0.02</v>
      </c>
    </row>
    <row r="73" spans="1:3">
      <c r="A73" s="561"/>
      <c r="B73" s="404"/>
      <c r="C73" s="566"/>
    </row>
    <row r="74" spans="1:3">
      <c r="A74" s="561"/>
      <c r="B74" s="404"/>
      <c r="C74" s="566"/>
    </row>
    <row r="75" spans="1:3">
      <c r="A75" s="559">
        <v>5</v>
      </c>
      <c r="B75" s="555" t="s">
        <v>926</v>
      </c>
    </row>
    <row r="76" spans="1:3">
      <c r="A76" s="561" t="s">
        <v>230</v>
      </c>
      <c r="B76" s="336" t="s">
        <v>917</v>
      </c>
      <c r="C76" s="566">
        <v>0.73</v>
      </c>
    </row>
    <row r="77" spans="1:3">
      <c r="A77" s="561" t="s">
        <v>231</v>
      </c>
      <c r="B77" s="336" t="s">
        <v>927</v>
      </c>
      <c r="C77" s="566">
        <v>0.25</v>
      </c>
    </row>
    <row r="78" spans="1:3">
      <c r="A78" s="561" t="s">
        <v>267</v>
      </c>
      <c r="B78" s="336" t="s">
        <v>671</v>
      </c>
      <c r="C78" s="566">
        <v>0.02</v>
      </c>
    </row>
    <row r="79" spans="1:3">
      <c r="A79" s="561"/>
      <c r="B79" s="404"/>
      <c r="C79" s="566"/>
    </row>
    <row r="81" spans="1:12">
      <c r="A81" s="562" t="s">
        <v>863</v>
      </c>
      <c r="B81" s="582" t="s">
        <v>933</v>
      </c>
    </row>
    <row r="82" spans="1:12">
      <c r="B82" s="582" t="s">
        <v>913</v>
      </c>
    </row>
    <row r="83" spans="1:12">
      <c r="B83" s="582" t="s">
        <v>914</v>
      </c>
    </row>
    <row r="84" spans="1:12">
      <c r="B84" s="582" t="s">
        <v>907</v>
      </c>
    </row>
    <row r="85" spans="1:12">
      <c r="B85" s="582" t="s">
        <v>864</v>
      </c>
    </row>
    <row r="86" spans="1:12">
      <c r="B86" s="582" t="s">
        <v>934</v>
      </c>
    </row>
    <row r="87" spans="1:12">
      <c r="B87" s="582" t="s">
        <v>918</v>
      </c>
    </row>
    <row r="88" spans="1:12">
      <c r="B88" s="582" t="s">
        <v>919</v>
      </c>
    </row>
    <row r="89" spans="1:12">
      <c r="B89" s="582" t="s">
        <v>920</v>
      </c>
    </row>
    <row r="90" spans="1:12">
      <c r="B90" s="568"/>
    </row>
    <row r="91" spans="1:12">
      <c r="A91" s="562">
        <v>7</v>
      </c>
      <c r="B91" s="558" t="s">
        <v>842</v>
      </c>
      <c r="C91" s="558" t="s">
        <v>843</v>
      </c>
    </row>
    <row r="92" spans="1:12">
      <c r="A92" s="562">
        <v>8</v>
      </c>
      <c r="B92" s="558" t="s">
        <v>878</v>
      </c>
      <c r="C92" s="558" t="s">
        <v>890</v>
      </c>
      <c r="D92" s="567">
        <v>24</v>
      </c>
    </row>
    <row r="93" spans="1:12">
      <c r="A93" s="562">
        <v>9</v>
      </c>
      <c r="B93" s="558" t="s">
        <v>845</v>
      </c>
      <c r="C93" s="558" t="s">
        <v>846</v>
      </c>
    </row>
    <row r="95" spans="1:12">
      <c r="A95" s="562">
        <v>9</v>
      </c>
      <c r="B95" s="579" t="s">
        <v>847</v>
      </c>
      <c r="C95" s="403" t="s">
        <v>2</v>
      </c>
      <c r="D95" s="403" t="s">
        <v>3</v>
      </c>
      <c r="E95" s="403" t="s">
        <v>4</v>
      </c>
      <c r="F95" s="403" t="s">
        <v>5</v>
      </c>
      <c r="G95" s="403" t="s">
        <v>6</v>
      </c>
      <c r="H95" s="403" t="s">
        <v>164</v>
      </c>
      <c r="I95" s="403" t="s">
        <v>163</v>
      </c>
      <c r="J95" s="403" t="s">
        <v>676</v>
      </c>
      <c r="K95" s="403" t="s">
        <v>677</v>
      </c>
      <c r="L95" s="403" t="s">
        <v>678</v>
      </c>
    </row>
    <row r="96" spans="1:12">
      <c r="B96" s="581" t="s">
        <v>935</v>
      </c>
      <c r="C96" s="626">
        <v>23200</v>
      </c>
      <c r="D96" s="626">
        <f>ROUND(C96*1.05,-1)</f>
        <v>24360</v>
      </c>
      <c r="E96" s="626">
        <f t="shared" ref="E96:L96" si="2">ROUND(D96*1.05,-1)</f>
        <v>25580</v>
      </c>
      <c r="F96" s="626">
        <f t="shared" si="2"/>
        <v>26860</v>
      </c>
      <c r="G96" s="626">
        <f t="shared" si="2"/>
        <v>28200</v>
      </c>
      <c r="H96" s="626">
        <f t="shared" si="2"/>
        <v>29610</v>
      </c>
      <c r="I96" s="626">
        <f t="shared" si="2"/>
        <v>31090</v>
      </c>
      <c r="J96" s="417">
        <f t="shared" si="2"/>
        <v>32640</v>
      </c>
      <c r="K96" s="417">
        <f t="shared" si="2"/>
        <v>34270</v>
      </c>
      <c r="L96" s="417">
        <f t="shared" si="2"/>
        <v>35980</v>
      </c>
    </row>
    <row r="97" spans="1:12">
      <c r="B97" s="581" t="s">
        <v>902</v>
      </c>
      <c r="C97" s="417">
        <v>0</v>
      </c>
      <c r="D97" s="417">
        <f t="shared" ref="D97:L101" si="3">ROUND(C97*1.05,-1)</f>
        <v>0</v>
      </c>
      <c r="E97" s="417">
        <f t="shared" si="3"/>
        <v>0</v>
      </c>
      <c r="F97" s="417">
        <f t="shared" si="3"/>
        <v>0</v>
      </c>
      <c r="G97" s="417">
        <f t="shared" si="3"/>
        <v>0</v>
      </c>
      <c r="H97" s="417">
        <f t="shared" si="3"/>
        <v>0</v>
      </c>
      <c r="I97" s="417">
        <f t="shared" si="3"/>
        <v>0</v>
      </c>
      <c r="J97" s="417">
        <f t="shared" si="3"/>
        <v>0</v>
      </c>
      <c r="K97" s="417">
        <f t="shared" si="3"/>
        <v>0</v>
      </c>
      <c r="L97" s="417">
        <f t="shared" si="3"/>
        <v>0</v>
      </c>
    </row>
    <row r="98" spans="1:12" hidden="1">
      <c r="B98" s="581" t="s">
        <v>682</v>
      </c>
      <c r="C98" s="417">
        <v>0</v>
      </c>
      <c r="D98" s="417">
        <f t="shared" si="3"/>
        <v>0</v>
      </c>
      <c r="E98" s="417">
        <f t="shared" si="3"/>
        <v>0</v>
      </c>
      <c r="F98" s="417">
        <f t="shared" si="3"/>
        <v>0</v>
      </c>
      <c r="G98" s="417">
        <f t="shared" si="3"/>
        <v>0</v>
      </c>
      <c r="H98" s="417">
        <f t="shared" si="3"/>
        <v>0</v>
      </c>
      <c r="I98" s="417">
        <f t="shared" si="3"/>
        <v>0</v>
      </c>
      <c r="J98" s="417">
        <f t="shared" si="3"/>
        <v>0</v>
      </c>
      <c r="K98" s="417">
        <f t="shared" si="3"/>
        <v>0</v>
      </c>
      <c r="L98" s="417">
        <f t="shared" si="3"/>
        <v>0</v>
      </c>
    </row>
    <row r="99" spans="1:12">
      <c r="B99" s="581" t="s">
        <v>912</v>
      </c>
      <c r="C99" s="417">
        <v>0</v>
      </c>
      <c r="D99" s="417">
        <f t="shared" si="3"/>
        <v>0</v>
      </c>
      <c r="E99" s="417">
        <f t="shared" si="3"/>
        <v>0</v>
      </c>
      <c r="F99" s="417">
        <f t="shared" si="3"/>
        <v>0</v>
      </c>
      <c r="G99" s="417">
        <f t="shared" si="3"/>
        <v>0</v>
      </c>
      <c r="H99" s="417">
        <f t="shared" si="3"/>
        <v>0</v>
      </c>
      <c r="I99" s="417">
        <f t="shared" si="3"/>
        <v>0</v>
      </c>
      <c r="J99" s="417">
        <f t="shared" si="3"/>
        <v>0</v>
      </c>
      <c r="K99" s="417">
        <f t="shared" si="3"/>
        <v>0</v>
      </c>
      <c r="L99" s="417">
        <f t="shared" si="3"/>
        <v>0</v>
      </c>
    </row>
    <row r="100" spans="1:12">
      <c r="B100" s="581" t="s">
        <v>908</v>
      </c>
      <c r="C100" s="417">
        <v>0</v>
      </c>
      <c r="D100" s="417">
        <f t="shared" si="3"/>
        <v>0</v>
      </c>
      <c r="E100" s="417">
        <f t="shared" si="3"/>
        <v>0</v>
      </c>
      <c r="F100" s="417">
        <f t="shared" si="3"/>
        <v>0</v>
      </c>
      <c r="G100" s="417">
        <f t="shared" si="3"/>
        <v>0</v>
      </c>
      <c r="H100" s="417">
        <f t="shared" si="3"/>
        <v>0</v>
      </c>
      <c r="I100" s="417">
        <f t="shared" si="3"/>
        <v>0</v>
      </c>
      <c r="J100" s="417">
        <f t="shared" si="3"/>
        <v>0</v>
      </c>
      <c r="K100" s="417">
        <f t="shared" si="3"/>
        <v>0</v>
      </c>
      <c r="L100" s="417">
        <f t="shared" si="3"/>
        <v>0</v>
      </c>
    </row>
    <row r="101" spans="1:12">
      <c r="B101" s="581" t="s">
        <v>478</v>
      </c>
      <c r="C101" s="417">
        <v>0</v>
      </c>
      <c r="D101" s="417">
        <f t="shared" si="3"/>
        <v>0</v>
      </c>
      <c r="E101" s="417">
        <f t="shared" si="3"/>
        <v>0</v>
      </c>
      <c r="F101" s="417">
        <f t="shared" si="3"/>
        <v>0</v>
      </c>
      <c r="G101" s="417">
        <f t="shared" si="3"/>
        <v>0</v>
      </c>
      <c r="H101" s="417">
        <f t="shared" si="3"/>
        <v>0</v>
      </c>
      <c r="I101" s="417">
        <f t="shared" si="3"/>
        <v>0</v>
      </c>
      <c r="J101" s="417">
        <f t="shared" si="3"/>
        <v>0</v>
      </c>
      <c r="K101" s="417">
        <f t="shared" si="3"/>
        <v>0</v>
      </c>
      <c r="L101" s="417">
        <f t="shared" si="3"/>
        <v>0</v>
      </c>
    </row>
    <row r="102" spans="1:12">
      <c r="C102" s="417"/>
      <c r="D102" s="417"/>
      <c r="E102" s="417"/>
      <c r="F102" s="417"/>
      <c r="G102" s="417"/>
      <c r="H102" s="417"/>
      <c r="I102" s="417"/>
      <c r="J102" s="417"/>
      <c r="K102" s="417"/>
      <c r="L102" s="417"/>
    </row>
    <row r="103" spans="1:12">
      <c r="A103" s="562">
        <v>10</v>
      </c>
      <c r="B103" s="560" t="s">
        <v>848</v>
      </c>
      <c r="C103" s="403" t="s">
        <v>2</v>
      </c>
      <c r="D103" s="403" t="s">
        <v>3</v>
      </c>
      <c r="E103" s="403" t="s">
        <v>4</v>
      </c>
      <c r="F103" s="403" t="s">
        <v>5</v>
      </c>
      <c r="G103" s="403" t="s">
        <v>6</v>
      </c>
      <c r="H103" s="403" t="s">
        <v>164</v>
      </c>
      <c r="I103" s="403" t="s">
        <v>163</v>
      </c>
      <c r="J103" s="403" t="s">
        <v>676</v>
      </c>
      <c r="K103" s="403" t="s">
        <v>677</v>
      </c>
      <c r="L103" s="403" t="s">
        <v>678</v>
      </c>
    </row>
    <row r="104" spans="1:12">
      <c r="B104" s="558" t="s">
        <v>849</v>
      </c>
      <c r="C104" s="417">
        <v>900</v>
      </c>
      <c r="D104" s="417">
        <f>ROUND(C104*1.05,-1)</f>
        <v>950</v>
      </c>
      <c r="E104" s="417">
        <f t="shared" ref="E104:L104" si="4">ROUND(D104*1.05,-1)</f>
        <v>1000</v>
      </c>
      <c r="F104" s="417">
        <f t="shared" si="4"/>
        <v>1050</v>
      </c>
      <c r="G104" s="417">
        <f t="shared" si="4"/>
        <v>1100</v>
      </c>
      <c r="H104" s="417">
        <f t="shared" si="4"/>
        <v>1160</v>
      </c>
      <c r="I104" s="417">
        <f t="shared" si="4"/>
        <v>1220</v>
      </c>
      <c r="J104" s="417">
        <f t="shared" si="4"/>
        <v>1280</v>
      </c>
      <c r="K104" s="417">
        <f t="shared" si="4"/>
        <v>1340</v>
      </c>
      <c r="L104" s="417">
        <f t="shared" si="4"/>
        <v>1410</v>
      </c>
    </row>
    <row r="106" spans="1:12">
      <c r="A106" s="562">
        <v>11</v>
      </c>
      <c r="B106" s="560" t="s">
        <v>850</v>
      </c>
      <c r="C106" s="558" t="s">
        <v>851</v>
      </c>
    </row>
    <row r="108" spans="1:12">
      <c r="A108" s="562">
        <v>12</v>
      </c>
      <c r="B108" s="579" t="s">
        <v>852</v>
      </c>
      <c r="C108" s="403" t="s">
        <v>2</v>
      </c>
      <c r="D108" s="403" t="s">
        <v>3</v>
      </c>
      <c r="E108" s="403" t="s">
        <v>4</v>
      </c>
      <c r="F108" s="403" t="s">
        <v>5</v>
      </c>
      <c r="G108" s="403" t="s">
        <v>6</v>
      </c>
      <c r="H108" s="403" t="s">
        <v>164</v>
      </c>
      <c r="I108" s="403" t="s">
        <v>163</v>
      </c>
      <c r="J108" s="403" t="s">
        <v>676</v>
      </c>
      <c r="K108" s="403" t="s">
        <v>677</v>
      </c>
      <c r="L108" s="403" t="s">
        <v>678</v>
      </c>
    </row>
    <row r="109" spans="1:12">
      <c r="B109" s="560" t="s">
        <v>935</v>
      </c>
      <c r="C109" s="403"/>
      <c r="D109" s="403"/>
      <c r="E109" s="403"/>
      <c r="F109" s="403"/>
      <c r="G109" s="403"/>
      <c r="H109" s="403"/>
      <c r="I109" s="403"/>
      <c r="J109" s="403"/>
      <c r="K109" s="403"/>
      <c r="L109" s="403"/>
    </row>
    <row r="110" spans="1:12">
      <c r="A110" s="561" t="s">
        <v>230</v>
      </c>
      <c r="B110" s="558" t="str">
        <f>+B29</f>
        <v xml:space="preserve">Rice </v>
      </c>
      <c r="C110" s="626">
        <v>44000</v>
      </c>
      <c r="D110" s="626">
        <f>ROUND(C110*1.05,-1)</f>
        <v>46200</v>
      </c>
      <c r="E110" s="626">
        <f t="shared" ref="E110:L110" si="5">ROUND(D110*1.05,-1)</f>
        <v>48510</v>
      </c>
      <c r="F110" s="626">
        <f t="shared" si="5"/>
        <v>50940</v>
      </c>
      <c r="G110" s="626">
        <f t="shared" si="5"/>
        <v>53490</v>
      </c>
      <c r="H110" s="626">
        <f t="shared" si="5"/>
        <v>56160</v>
      </c>
      <c r="I110" s="626">
        <f t="shared" si="5"/>
        <v>58970</v>
      </c>
      <c r="J110" s="417">
        <f t="shared" si="5"/>
        <v>61920</v>
      </c>
      <c r="K110" s="417">
        <f t="shared" si="5"/>
        <v>65020</v>
      </c>
      <c r="L110" s="417">
        <f t="shared" si="5"/>
        <v>68270</v>
      </c>
    </row>
    <row r="111" spans="1:12">
      <c r="A111" s="561" t="s">
        <v>231</v>
      </c>
      <c r="B111" s="558" t="str">
        <f>+B30</f>
        <v xml:space="preserve">Husk </v>
      </c>
      <c r="C111" s="626">
        <v>2000</v>
      </c>
      <c r="D111" s="626">
        <f>ROUND(C111*1.05,-1)</f>
        <v>2100</v>
      </c>
      <c r="E111" s="626">
        <f t="shared" ref="E111:L111" si="6">ROUND(D111*1.05,-1)</f>
        <v>2210</v>
      </c>
      <c r="F111" s="626">
        <f t="shared" si="6"/>
        <v>2320</v>
      </c>
      <c r="G111" s="626">
        <f t="shared" si="6"/>
        <v>2440</v>
      </c>
      <c r="H111" s="626">
        <f t="shared" si="6"/>
        <v>2560</v>
      </c>
      <c r="I111" s="626">
        <f t="shared" si="6"/>
        <v>2690</v>
      </c>
      <c r="J111" s="417">
        <f t="shared" si="6"/>
        <v>2820</v>
      </c>
      <c r="K111" s="417">
        <f t="shared" si="6"/>
        <v>2960</v>
      </c>
      <c r="L111" s="417">
        <f t="shared" si="6"/>
        <v>3110</v>
      </c>
    </row>
    <row r="112" spans="1:12">
      <c r="A112" s="561" t="s">
        <v>267</v>
      </c>
      <c r="B112" s="558" t="str">
        <f>+B31</f>
        <v>Boken</v>
      </c>
      <c r="C112" s="626">
        <v>17000</v>
      </c>
      <c r="D112" s="626">
        <f>ROUND(C112*1.05,-1)</f>
        <v>17850</v>
      </c>
      <c r="E112" s="626">
        <f t="shared" ref="E112:L114" si="7">ROUND(D112*1.05,-1)</f>
        <v>18740</v>
      </c>
      <c r="F112" s="626">
        <f t="shared" si="7"/>
        <v>19680</v>
      </c>
      <c r="G112" s="626">
        <f t="shared" si="7"/>
        <v>20660</v>
      </c>
      <c r="H112" s="626">
        <f t="shared" si="7"/>
        <v>21690</v>
      </c>
      <c r="I112" s="626">
        <f t="shared" si="7"/>
        <v>22770</v>
      </c>
      <c r="J112" s="417">
        <f t="shared" si="7"/>
        <v>23910</v>
      </c>
      <c r="K112" s="417">
        <f t="shared" si="7"/>
        <v>25110</v>
      </c>
      <c r="L112" s="417">
        <f t="shared" si="7"/>
        <v>26370</v>
      </c>
    </row>
    <row r="113" spans="1:12">
      <c r="A113" s="561" t="s">
        <v>269</v>
      </c>
      <c r="B113" s="558" t="s">
        <v>858</v>
      </c>
      <c r="C113" s="626">
        <v>8000</v>
      </c>
      <c r="D113" s="626">
        <f>ROUND(C113*1.05,-1)</f>
        <v>8400</v>
      </c>
      <c r="E113" s="626">
        <f t="shared" si="7"/>
        <v>8820</v>
      </c>
      <c r="F113" s="626">
        <f t="shared" si="7"/>
        <v>9260</v>
      </c>
      <c r="G113" s="626">
        <f t="shared" si="7"/>
        <v>9720</v>
      </c>
      <c r="H113" s="626">
        <f t="shared" si="7"/>
        <v>10210</v>
      </c>
      <c r="I113" s="626">
        <f t="shared" si="7"/>
        <v>10720</v>
      </c>
      <c r="J113" s="417">
        <f t="shared" si="7"/>
        <v>11260</v>
      </c>
      <c r="K113" s="417">
        <f t="shared" si="7"/>
        <v>11820</v>
      </c>
      <c r="L113" s="417">
        <f t="shared" si="7"/>
        <v>12410</v>
      </c>
    </row>
    <row r="114" spans="1:12">
      <c r="A114" s="561" t="s">
        <v>322</v>
      </c>
      <c r="B114" s="558" t="s">
        <v>859</v>
      </c>
      <c r="C114" s="417">
        <v>0</v>
      </c>
      <c r="D114" s="417">
        <f>ROUND(C114*1.05,-1)</f>
        <v>0</v>
      </c>
      <c r="E114" s="417">
        <f t="shared" si="7"/>
        <v>0</v>
      </c>
      <c r="F114" s="417">
        <f t="shared" si="7"/>
        <v>0</v>
      </c>
      <c r="G114" s="417">
        <f t="shared" si="7"/>
        <v>0</v>
      </c>
      <c r="H114" s="417">
        <f t="shared" si="7"/>
        <v>0</v>
      </c>
      <c r="I114" s="417">
        <f t="shared" si="7"/>
        <v>0</v>
      </c>
      <c r="J114" s="417">
        <f t="shared" si="7"/>
        <v>0</v>
      </c>
      <c r="K114" s="417">
        <f t="shared" si="7"/>
        <v>0</v>
      </c>
      <c r="L114" s="417">
        <f t="shared" si="7"/>
        <v>0</v>
      </c>
    </row>
    <row r="115" spans="1:12">
      <c r="A115" s="561"/>
      <c r="C115" s="417"/>
      <c r="D115" s="417"/>
      <c r="E115" s="417"/>
      <c r="F115" s="417"/>
      <c r="G115" s="417"/>
      <c r="H115" s="417"/>
      <c r="I115" s="417"/>
      <c r="J115" s="417"/>
      <c r="K115" s="417"/>
      <c r="L115" s="417"/>
    </row>
    <row r="116" spans="1:12">
      <c r="A116" s="561"/>
      <c r="B116" s="560" t="s">
        <v>902</v>
      </c>
      <c r="C116" s="417"/>
      <c r="D116" s="417"/>
      <c r="E116" s="417"/>
      <c r="F116" s="417"/>
      <c r="G116" s="417"/>
      <c r="H116" s="417"/>
      <c r="I116" s="417"/>
      <c r="J116" s="417"/>
      <c r="K116" s="417"/>
      <c r="L116" s="417"/>
    </row>
    <row r="117" spans="1:12">
      <c r="A117" s="561" t="s">
        <v>230</v>
      </c>
      <c r="B117" s="558" t="str">
        <f>+B36</f>
        <v>Grade I</v>
      </c>
      <c r="C117" s="558">
        <v>0</v>
      </c>
      <c r="D117" s="417">
        <f>ROUND(C117*1.05,-1)</f>
        <v>0</v>
      </c>
      <c r="E117" s="417">
        <f>ROUND(D117*1.05,-1)</f>
        <v>0</v>
      </c>
      <c r="F117" s="417">
        <f t="shared" ref="F117:L118" si="8">ROUND(E117*1.05,-1)</f>
        <v>0</v>
      </c>
      <c r="G117" s="417">
        <f t="shared" si="8"/>
        <v>0</v>
      </c>
      <c r="H117" s="417">
        <f t="shared" si="8"/>
        <v>0</v>
      </c>
      <c r="I117" s="417">
        <f t="shared" si="8"/>
        <v>0</v>
      </c>
      <c r="J117" s="417">
        <f t="shared" si="8"/>
        <v>0</v>
      </c>
      <c r="K117" s="417">
        <f t="shared" si="8"/>
        <v>0</v>
      </c>
      <c r="L117" s="417">
        <f t="shared" si="8"/>
        <v>0</v>
      </c>
    </row>
    <row r="118" spans="1:12">
      <c r="A118" s="561" t="s">
        <v>231</v>
      </c>
      <c r="B118" s="558" t="str">
        <f>+B37</f>
        <v>Grade II</v>
      </c>
      <c r="C118" s="558">
        <v>0</v>
      </c>
      <c r="D118" s="417">
        <f>ROUND(C118*1.05,-1)</f>
        <v>0</v>
      </c>
      <c r="E118" s="417">
        <f t="shared" ref="E118" si="9">ROUND(D118*1.05,-1)</f>
        <v>0</v>
      </c>
      <c r="F118" s="417">
        <f t="shared" si="8"/>
        <v>0</v>
      </c>
      <c r="G118" s="417">
        <f t="shared" si="8"/>
        <v>0</v>
      </c>
      <c r="H118" s="417">
        <f t="shared" si="8"/>
        <v>0</v>
      </c>
      <c r="I118" s="417">
        <f t="shared" si="8"/>
        <v>0</v>
      </c>
      <c r="J118" s="417">
        <f t="shared" si="8"/>
        <v>0</v>
      </c>
      <c r="K118" s="417">
        <f t="shared" si="8"/>
        <v>0</v>
      </c>
      <c r="L118" s="417">
        <f t="shared" si="8"/>
        <v>0</v>
      </c>
    </row>
    <row r="119" spans="1:12">
      <c r="A119" s="561" t="s">
        <v>267</v>
      </c>
      <c r="B119" s="558" t="str">
        <f>+B38</f>
        <v>Waste</v>
      </c>
    </row>
    <row r="120" spans="1:12" hidden="1">
      <c r="A120" s="561"/>
    </row>
    <row r="121" spans="1:12" hidden="1">
      <c r="A121" s="561"/>
      <c r="B121" s="560" t="s">
        <v>682</v>
      </c>
    </row>
    <row r="122" spans="1:12" hidden="1">
      <c r="A122" s="561"/>
      <c r="B122" s="558" t="s">
        <v>661</v>
      </c>
      <c r="C122" s="558">
        <v>0</v>
      </c>
      <c r="D122" s="417">
        <f t="shared" ref="D122:L122" si="10">ROUND(C122*1.05,-1)</f>
        <v>0</v>
      </c>
      <c r="E122" s="417">
        <f t="shared" si="10"/>
        <v>0</v>
      </c>
      <c r="F122" s="417">
        <f t="shared" si="10"/>
        <v>0</v>
      </c>
      <c r="G122" s="417">
        <f t="shared" si="10"/>
        <v>0</v>
      </c>
      <c r="H122" s="417">
        <f t="shared" si="10"/>
        <v>0</v>
      </c>
      <c r="I122" s="417">
        <f t="shared" si="10"/>
        <v>0</v>
      </c>
      <c r="J122" s="417">
        <f t="shared" si="10"/>
        <v>0</v>
      </c>
      <c r="K122" s="417">
        <f t="shared" si="10"/>
        <v>0</v>
      </c>
      <c r="L122" s="417">
        <f t="shared" si="10"/>
        <v>0</v>
      </c>
    </row>
    <row r="123" spans="1:12">
      <c r="A123" s="561"/>
    </row>
    <row r="124" spans="1:12">
      <c r="A124" s="561"/>
      <c r="B124" s="560" t="s">
        <v>912</v>
      </c>
    </row>
    <row r="125" spans="1:12">
      <c r="A125" s="561" t="s">
        <v>230</v>
      </c>
      <c r="B125" s="558" t="str">
        <f>+B43</f>
        <v>Grade I</v>
      </c>
      <c r="C125" s="574">
        <v>0</v>
      </c>
      <c r="D125" s="417">
        <f>ROUND(C125*1.05,-1)</f>
        <v>0</v>
      </c>
      <c r="E125" s="417">
        <f t="shared" ref="E125:L125" si="11">ROUND(D125*1.05,-1)</f>
        <v>0</v>
      </c>
      <c r="F125" s="417">
        <f t="shared" si="11"/>
        <v>0</v>
      </c>
      <c r="G125" s="417">
        <f t="shared" si="11"/>
        <v>0</v>
      </c>
      <c r="H125" s="417">
        <f t="shared" si="11"/>
        <v>0</v>
      </c>
      <c r="I125" s="417">
        <f t="shared" si="11"/>
        <v>0</v>
      </c>
      <c r="J125" s="417">
        <f t="shared" si="11"/>
        <v>0</v>
      </c>
      <c r="K125" s="417">
        <f t="shared" si="11"/>
        <v>0</v>
      </c>
      <c r="L125" s="417">
        <f t="shared" si="11"/>
        <v>0</v>
      </c>
    </row>
    <row r="126" spans="1:12">
      <c r="A126" s="561" t="s">
        <v>231</v>
      </c>
      <c r="B126" s="558" t="str">
        <f>+B44</f>
        <v>Grade II</v>
      </c>
      <c r="C126" s="574">
        <v>0</v>
      </c>
      <c r="D126" s="417">
        <f>ROUND(C126*1.05,-1)</f>
        <v>0</v>
      </c>
      <c r="E126" s="417">
        <f t="shared" ref="E126" si="12">ROUND(D126*1.05,-1)</f>
        <v>0</v>
      </c>
      <c r="F126" s="417">
        <f t="shared" ref="F126" si="13">ROUND(E126*1.05,-1)</f>
        <v>0</v>
      </c>
      <c r="G126" s="417">
        <f t="shared" ref="G126" si="14">ROUND(F126*1.05,-1)</f>
        <v>0</v>
      </c>
      <c r="H126" s="417">
        <f t="shared" ref="H126" si="15">ROUND(G126*1.05,-1)</f>
        <v>0</v>
      </c>
      <c r="I126" s="417">
        <f t="shared" ref="I126" si="16">ROUND(H126*1.05,-1)</f>
        <v>0</v>
      </c>
      <c r="J126" s="417">
        <f t="shared" ref="J126" si="17">ROUND(I126*1.05,-1)</f>
        <v>0</v>
      </c>
      <c r="K126" s="417">
        <f t="shared" ref="K126" si="18">ROUND(J126*1.05,-1)</f>
        <v>0</v>
      </c>
      <c r="L126" s="417">
        <f t="shared" ref="L126" si="19">ROUND(K126*1.05,-1)</f>
        <v>0</v>
      </c>
    </row>
    <row r="127" spans="1:12">
      <c r="A127" s="561" t="s">
        <v>267</v>
      </c>
      <c r="B127" s="558" t="str">
        <f>+B45</f>
        <v>Waste</v>
      </c>
      <c r="C127" s="574"/>
      <c r="D127" s="417"/>
      <c r="E127" s="417"/>
      <c r="F127" s="417"/>
      <c r="G127" s="417"/>
      <c r="H127" s="417"/>
      <c r="I127" s="417"/>
      <c r="J127" s="417"/>
      <c r="K127" s="417"/>
      <c r="L127" s="417"/>
    </row>
    <row r="128" spans="1:12">
      <c r="A128" s="561"/>
    </row>
    <row r="129" spans="1:12">
      <c r="A129" s="561"/>
      <c r="B129" s="560" t="s">
        <v>908</v>
      </c>
    </row>
    <row r="130" spans="1:12">
      <c r="A130" s="561"/>
      <c r="B130" s="558" t="s">
        <v>661</v>
      </c>
      <c r="C130" s="417">
        <v>0</v>
      </c>
      <c r="D130" s="417">
        <f t="shared" ref="D130" si="20">ROUND(C130*1.05,-1)</f>
        <v>0</v>
      </c>
      <c r="E130" s="417">
        <f t="shared" ref="E130:L130" si="21">ROUND(D130*1.05,-1)</f>
        <v>0</v>
      </c>
      <c r="F130" s="417">
        <f t="shared" si="21"/>
        <v>0</v>
      </c>
      <c r="G130" s="417">
        <f t="shared" si="21"/>
        <v>0</v>
      </c>
      <c r="H130" s="417">
        <f t="shared" si="21"/>
        <v>0</v>
      </c>
      <c r="I130" s="417">
        <f t="shared" si="21"/>
        <v>0</v>
      </c>
      <c r="J130" s="417">
        <f t="shared" si="21"/>
        <v>0</v>
      </c>
      <c r="K130" s="417">
        <f t="shared" si="21"/>
        <v>0</v>
      </c>
      <c r="L130" s="417">
        <f t="shared" si="21"/>
        <v>0</v>
      </c>
    </row>
    <row r="131" spans="1:12">
      <c r="A131" s="561"/>
      <c r="B131" s="558" t="s">
        <v>662</v>
      </c>
      <c r="C131" s="417">
        <v>0</v>
      </c>
      <c r="D131" s="417">
        <f t="shared" ref="D131:L131" si="22">ROUND(C131*1.05,-1)</f>
        <v>0</v>
      </c>
      <c r="E131" s="417">
        <f t="shared" si="22"/>
        <v>0</v>
      </c>
      <c r="F131" s="417">
        <f t="shared" si="22"/>
        <v>0</v>
      </c>
      <c r="G131" s="417">
        <f t="shared" si="22"/>
        <v>0</v>
      </c>
      <c r="H131" s="417">
        <f t="shared" si="22"/>
        <v>0</v>
      </c>
      <c r="I131" s="417">
        <f t="shared" si="22"/>
        <v>0</v>
      </c>
      <c r="J131" s="417">
        <f t="shared" si="22"/>
        <v>0</v>
      </c>
      <c r="K131" s="417">
        <f t="shared" si="22"/>
        <v>0</v>
      </c>
      <c r="L131" s="417">
        <f t="shared" si="22"/>
        <v>0</v>
      </c>
    </row>
    <row r="132" spans="1:12">
      <c r="A132" s="561"/>
      <c r="B132" s="558" t="s">
        <v>670</v>
      </c>
      <c r="C132" s="417">
        <v>0</v>
      </c>
      <c r="D132" s="417">
        <f t="shared" ref="D132:L132" si="23">ROUND(C132*1.05,-1)</f>
        <v>0</v>
      </c>
      <c r="E132" s="417">
        <f t="shared" si="23"/>
        <v>0</v>
      </c>
      <c r="F132" s="417">
        <f t="shared" si="23"/>
        <v>0</v>
      </c>
      <c r="G132" s="417">
        <f t="shared" si="23"/>
        <v>0</v>
      </c>
      <c r="H132" s="417">
        <f t="shared" si="23"/>
        <v>0</v>
      </c>
      <c r="I132" s="417">
        <f t="shared" si="23"/>
        <v>0</v>
      </c>
      <c r="J132" s="417">
        <f t="shared" si="23"/>
        <v>0</v>
      </c>
      <c r="K132" s="417">
        <f t="shared" si="23"/>
        <v>0</v>
      </c>
      <c r="L132" s="417">
        <f t="shared" si="23"/>
        <v>0</v>
      </c>
    </row>
    <row r="133" spans="1:12">
      <c r="A133" s="561"/>
      <c r="C133" s="417"/>
      <c r="D133" s="417"/>
      <c r="E133" s="417"/>
      <c r="F133" s="417"/>
      <c r="G133" s="417"/>
      <c r="H133" s="417"/>
      <c r="I133" s="417"/>
      <c r="J133" s="417"/>
      <c r="K133" s="417"/>
      <c r="L133" s="417"/>
    </row>
    <row r="134" spans="1:12">
      <c r="A134" s="561"/>
      <c r="B134" s="560" t="str">
        <f>+B109</f>
        <v>Paddy</v>
      </c>
      <c r="C134" s="417"/>
      <c r="D134" s="417"/>
      <c r="E134" s="417"/>
      <c r="F134" s="417"/>
      <c r="G134" s="417"/>
      <c r="H134" s="417"/>
      <c r="I134" s="417"/>
      <c r="J134" s="417"/>
      <c r="K134" s="417"/>
      <c r="L134" s="417"/>
    </row>
    <row r="135" spans="1:12">
      <c r="A135" s="561"/>
      <c r="B135" s="558" t="str">
        <f>+B58</f>
        <v>Paddy Dal</v>
      </c>
      <c r="C135" s="417">
        <v>0</v>
      </c>
      <c r="D135" s="417">
        <f t="shared" ref="D135:D136" si="24">ROUND(C135*1.05,-1)</f>
        <v>0</v>
      </c>
      <c r="E135" s="417">
        <f t="shared" ref="E135:E136" si="25">ROUND(D135*1.05,-1)</f>
        <v>0</v>
      </c>
      <c r="F135" s="417">
        <f t="shared" ref="F135:F136" si="26">ROUND(E135*1.05,-1)</f>
        <v>0</v>
      </c>
      <c r="G135" s="417">
        <f t="shared" ref="G135:G136" si="27">ROUND(F135*1.05,-1)</f>
        <v>0</v>
      </c>
      <c r="H135" s="417">
        <f t="shared" ref="H135:H136" si="28">ROUND(G135*1.05,-1)</f>
        <v>0</v>
      </c>
      <c r="I135" s="417">
        <f t="shared" ref="I135:I136" si="29">ROUND(H135*1.05,-1)</f>
        <v>0</v>
      </c>
      <c r="J135" s="417">
        <f t="shared" ref="J135:J136" si="30">ROUND(I135*1.05,-1)</f>
        <v>0</v>
      </c>
      <c r="K135" s="417">
        <f t="shared" ref="K135:K136" si="31">ROUND(J135*1.05,-1)</f>
        <v>0</v>
      </c>
      <c r="L135" s="417">
        <f t="shared" ref="L135:L136" si="32">ROUND(K135*1.05,-1)</f>
        <v>0</v>
      </c>
    </row>
    <row r="136" spans="1:12">
      <c r="A136" s="561"/>
      <c r="B136" s="558" t="str">
        <f>+B59</f>
        <v>Husk/ Cattle Feed</v>
      </c>
      <c r="C136" s="417">
        <v>0</v>
      </c>
      <c r="D136" s="417">
        <f t="shared" si="24"/>
        <v>0</v>
      </c>
      <c r="E136" s="417">
        <f t="shared" si="25"/>
        <v>0</v>
      </c>
      <c r="F136" s="417">
        <f t="shared" si="26"/>
        <v>0</v>
      </c>
      <c r="G136" s="417">
        <f t="shared" si="27"/>
        <v>0</v>
      </c>
      <c r="H136" s="417">
        <f t="shared" si="28"/>
        <v>0</v>
      </c>
      <c r="I136" s="417">
        <f t="shared" si="29"/>
        <v>0</v>
      </c>
      <c r="J136" s="417">
        <f t="shared" si="30"/>
        <v>0</v>
      </c>
      <c r="K136" s="417">
        <f t="shared" si="31"/>
        <v>0</v>
      </c>
      <c r="L136" s="417">
        <f t="shared" si="32"/>
        <v>0</v>
      </c>
    </row>
    <row r="137" spans="1:12">
      <c r="A137" s="561"/>
    </row>
    <row r="138" spans="1:12" hidden="1">
      <c r="A138" s="561"/>
      <c r="B138" s="560" t="s">
        <v>478</v>
      </c>
    </row>
    <row r="139" spans="1:12" hidden="1">
      <c r="A139" s="561"/>
      <c r="B139" s="558" t="s">
        <v>673</v>
      </c>
      <c r="C139" s="417">
        <v>0</v>
      </c>
      <c r="D139" s="417">
        <f t="shared" ref="D139:L140" si="33">ROUND(C139*1.05,-1)</f>
        <v>0</v>
      </c>
      <c r="E139" s="417">
        <f t="shared" si="33"/>
        <v>0</v>
      </c>
      <c r="F139" s="417">
        <f t="shared" si="33"/>
        <v>0</v>
      </c>
      <c r="G139" s="417">
        <f t="shared" si="33"/>
        <v>0</v>
      </c>
      <c r="H139" s="417">
        <f t="shared" si="33"/>
        <v>0</v>
      </c>
      <c r="I139" s="417">
        <f t="shared" si="33"/>
        <v>0</v>
      </c>
      <c r="J139" s="417">
        <f t="shared" si="33"/>
        <v>0</v>
      </c>
      <c r="K139" s="417">
        <f t="shared" si="33"/>
        <v>0</v>
      </c>
      <c r="L139" s="417">
        <f t="shared" si="33"/>
        <v>0</v>
      </c>
    </row>
    <row r="140" spans="1:12" hidden="1">
      <c r="A140" s="561"/>
      <c r="B140" s="558" t="s">
        <v>674</v>
      </c>
      <c r="C140" s="417">
        <v>0</v>
      </c>
      <c r="D140" s="417">
        <f t="shared" si="33"/>
        <v>0</v>
      </c>
      <c r="E140" s="417">
        <f t="shared" si="33"/>
        <v>0</v>
      </c>
      <c r="F140" s="417">
        <f t="shared" si="33"/>
        <v>0</v>
      </c>
      <c r="G140" s="417">
        <f t="shared" si="33"/>
        <v>0</v>
      </c>
      <c r="H140" s="417">
        <f t="shared" si="33"/>
        <v>0</v>
      </c>
      <c r="I140" s="417">
        <f t="shared" si="33"/>
        <v>0</v>
      </c>
      <c r="J140" s="417">
        <f t="shared" si="33"/>
        <v>0</v>
      </c>
      <c r="K140" s="417">
        <f t="shared" si="33"/>
        <v>0</v>
      </c>
      <c r="L140" s="417">
        <f t="shared" si="33"/>
        <v>0</v>
      </c>
    </row>
    <row r="141" spans="1:12">
      <c r="A141" s="561"/>
      <c r="B141" s="560" t="str">
        <f>+B116</f>
        <v>Moong</v>
      </c>
      <c r="C141" s="417"/>
      <c r="D141" s="417"/>
      <c r="E141" s="417"/>
      <c r="F141" s="417"/>
      <c r="G141" s="417"/>
      <c r="H141" s="417"/>
      <c r="I141" s="417"/>
      <c r="J141" s="417"/>
      <c r="K141" s="417"/>
      <c r="L141" s="417"/>
    </row>
    <row r="142" spans="1:12">
      <c r="B142" s="558" t="str">
        <f>+B64</f>
        <v>Moong Dal</v>
      </c>
      <c r="C142" s="417">
        <v>0</v>
      </c>
      <c r="D142" s="417">
        <f t="shared" ref="D142:D143" si="34">ROUND(C142*1.05,-1)</f>
        <v>0</v>
      </c>
      <c r="E142" s="417">
        <f t="shared" ref="E142:E143" si="35">ROUND(D142*1.05,-1)</f>
        <v>0</v>
      </c>
      <c r="F142" s="417">
        <f t="shared" ref="F142:F143" si="36">ROUND(E142*1.05,-1)</f>
        <v>0</v>
      </c>
      <c r="G142" s="417">
        <f t="shared" ref="G142:G143" si="37">ROUND(F142*1.05,-1)</f>
        <v>0</v>
      </c>
      <c r="H142" s="417">
        <f t="shared" ref="H142:H143" si="38">ROUND(G142*1.05,-1)</f>
        <v>0</v>
      </c>
      <c r="I142" s="417">
        <f t="shared" ref="I142:I143" si="39">ROUND(H142*1.05,-1)</f>
        <v>0</v>
      </c>
      <c r="J142" s="417">
        <f t="shared" ref="J142:J143" si="40">ROUND(I142*1.05,-1)</f>
        <v>0</v>
      </c>
      <c r="K142" s="417">
        <f t="shared" ref="K142:K143" si="41">ROUND(J142*1.05,-1)</f>
        <v>0</v>
      </c>
      <c r="L142" s="417">
        <f t="shared" ref="L142:L143" si="42">ROUND(K142*1.05,-1)</f>
        <v>0</v>
      </c>
    </row>
    <row r="143" spans="1:12">
      <c r="B143" s="558" t="str">
        <f>+B65</f>
        <v>Husk/ Cattle Feed</v>
      </c>
      <c r="C143" s="417">
        <v>0</v>
      </c>
      <c r="D143" s="417">
        <f t="shared" si="34"/>
        <v>0</v>
      </c>
      <c r="E143" s="417">
        <f t="shared" si="35"/>
        <v>0</v>
      </c>
      <c r="F143" s="417">
        <f t="shared" si="36"/>
        <v>0</v>
      </c>
      <c r="G143" s="417">
        <f t="shared" si="37"/>
        <v>0</v>
      </c>
      <c r="H143" s="417">
        <f t="shared" si="38"/>
        <v>0</v>
      </c>
      <c r="I143" s="417">
        <f t="shared" si="39"/>
        <v>0</v>
      </c>
      <c r="J143" s="417">
        <f t="shared" si="40"/>
        <v>0</v>
      </c>
      <c r="K143" s="417">
        <f t="shared" si="41"/>
        <v>0</v>
      </c>
      <c r="L143" s="417">
        <f t="shared" si="42"/>
        <v>0</v>
      </c>
    </row>
    <row r="145" spans="1:12">
      <c r="B145" s="560" t="str">
        <f>+B124</f>
        <v>Udad</v>
      </c>
    </row>
    <row r="146" spans="1:12">
      <c r="B146" s="558" t="str">
        <f>+B70</f>
        <v>Udad Dal</v>
      </c>
      <c r="C146" s="417">
        <v>0</v>
      </c>
      <c r="D146" s="417">
        <f t="shared" ref="D146:D147" si="43">ROUND(C146*1.05,-1)</f>
        <v>0</v>
      </c>
      <c r="E146" s="417">
        <f t="shared" ref="E146:E147" si="44">ROUND(D146*1.05,-1)</f>
        <v>0</v>
      </c>
      <c r="F146" s="417">
        <f t="shared" ref="F146:F147" si="45">ROUND(E146*1.05,-1)</f>
        <v>0</v>
      </c>
      <c r="G146" s="417">
        <f t="shared" ref="G146:G147" si="46">ROUND(F146*1.05,-1)</f>
        <v>0</v>
      </c>
      <c r="H146" s="417">
        <f t="shared" ref="H146:H147" si="47">ROUND(G146*1.05,-1)</f>
        <v>0</v>
      </c>
      <c r="I146" s="417">
        <f t="shared" ref="I146:I147" si="48">ROUND(H146*1.05,-1)</f>
        <v>0</v>
      </c>
      <c r="J146" s="417">
        <f t="shared" ref="J146:J147" si="49">ROUND(I146*1.05,-1)</f>
        <v>0</v>
      </c>
      <c r="K146" s="417">
        <f t="shared" ref="K146:K147" si="50">ROUND(J146*1.05,-1)</f>
        <v>0</v>
      </c>
      <c r="L146" s="417">
        <f t="shared" ref="L146:L147" si="51">ROUND(K146*1.05,-1)</f>
        <v>0</v>
      </c>
    </row>
    <row r="147" spans="1:12">
      <c r="B147" s="558" t="str">
        <f>+B71</f>
        <v>Husk/ Cattle Feed</v>
      </c>
      <c r="C147" s="417">
        <v>0</v>
      </c>
      <c r="D147" s="417">
        <f t="shared" si="43"/>
        <v>0</v>
      </c>
      <c r="E147" s="417">
        <f t="shared" si="44"/>
        <v>0</v>
      </c>
      <c r="F147" s="417">
        <f t="shared" si="45"/>
        <v>0</v>
      </c>
      <c r="G147" s="417">
        <f t="shared" si="46"/>
        <v>0</v>
      </c>
      <c r="H147" s="417">
        <f t="shared" si="47"/>
        <v>0</v>
      </c>
      <c r="I147" s="417">
        <f t="shared" si="48"/>
        <v>0</v>
      </c>
      <c r="J147" s="417">
        <f t="shared" si="49"/>
        <v>0</v>
      </c>
      <c r="K147" s="417">
        <f t="shared" si="50"/>
        <v>0</v>
      </c>
      <c r="L147" s="417">
        <f t="shared" si="51"/>
        <v>0</v>
      </c>
    </row>
    <row r="149" spans="1:12">
      <c r="B149" s="560" t="str">
        <f>+B129</f>
        <v>Tur</v>
      </c>
    </row>
    <row r="150" spans="1:12">
      <c r="B150" s="558" t="str">
        <f>+B76</f>
        <v>Tur Dal</v>
      </c>
      <c r="C150" s="417">
        <v>0</v>
      </c>
      <c r="D150" s="417">
        <f t="shared" ref="D150:D151" si="52">ROUND(C150*1.05,-1)</f>
        <v>0</v>
      </c>
      <c r="E150" s="417">
        <f t="shared" ref="E150:E151" si="53">ROUND(D150*1.05,-1)</f>
        <v>0</v>
      </c>
      <c r="F150" s="417">
        <f t="shared" ref="F150:F151" si="54">ROUND(E150*1.05,-1)</f>
        <v>0</v>
      </c>
      <c r="G150" s="417">
        <f t="shared" ref="G150:G151" si="55">ROUND(F150*1.05,-1)</f>
        <v>0</v>
      </c>
      <c r="H150" s="417">
        <f t="shared" ref="H150:H151" si="56">ROUND(G150*1.05,-1)</f>
        <v>0</v>
      </c>
      <c r="I150" s="417">
        <f t="shared" ref="I150:I151" si="57">ROUND(H150*1.05,-1)</f>
        <v>0</v>
      </c>
      <c r="J150" s="417">
        <f t="shared" ref="J150:J151" si="58">ROUND(I150*1.05,-1)</f>
        <v>0</v>
      </c>
      <c r="K150" s="417">
        <f t="shared" ref="K150:K151" si="59">ROUND(J150*1.05,-1)</f>
        <v>0</v>
      </c>
      <c r="L150" s="417">
        <f t="shared" ref="L150:L151" si="60">ROUND(K150*1.05,-1)</f>
        <v>0</v>
      </c>
    </row>
    <row r="151" spans="1:12">
      <c r="B151" s="558" t="str">
        <f>+B77</f>
        <v>Husk/ Cattle Feed</v>
      </c>
      <c r="C151" s="417">
        <v>0</v>
      </c>
      <c r="D151" s="417">
        <f t="shared" si="52"/>
        <v>0</v>
      </c>
      <c r="E151" s="417">
        <f t="shared" si="53"/>
        <v>0</v>
      </c>
      <c r="F151" s="417">
        <f t="shared" si="54"/>
        <v>0</v>
      </c>
      <c r="G151" s="417">
        <f t="shared" si="55"/>
        <v>0</v>
      </c>
      <c r="H151" s="417">
        <f t="shared" si="56"/>
        <v>0</v>
      </c>
      <c r="I151" s="417">
        <f t="shared" si="57"/>
        <v>0</v>
      </c>
      <c r="J151" s="417">
        <f t="shared" si="58"/>
        <v>0</v>
      </c>
      <c r="K151" s="417">
        <f t="shared" si="59"/>
        <v>0</v>
      </c>
      <c r="L151" s="417">
        <f t="shared" si="60"/>
        <v>0</v>
      </c>
    </row>
    <row r="154" spans="1:12">
      <c r="A154" s="562">
        <v>13</v>
      </c>
      <c r="B154" s="560" t="s">
        <v>853</v>
      </c>
      <c r="C154" s="564">
        <v>0.09</v>
      </c>
    </row>
    <row r="156" spans="1:12">
      <c r="A156" s="562">
        <v>14</v>
      </c>
      <c r="B156" s="560" t="s">
        <v>854</v>
      </c>
      <c r="C156" s="558" t="s">
        <v>921</v>
      </c>
    </row>
    <row r="158" spans="1:12">
      <c r="A158" s="562">
        <v>13</v>
      </c>
      <c r="B158" s="560" t="s">
        <v>855</v>
      </c>
      <c r="C158" s="563">
        <v>0.26</v>
      </c>
    </row>
    <row r="160" spans="1:12">
      <c r="A160" s="562">
        <v>14</v>
      </c>
      <c r="B160" s="560" t="s">
        <v>856</v>
      </c>
      <c r="C160" s="558" t="s">
        <v>844</v>
      </c>
    </row>
    <row r="162" spans="1:10">
      <c r="A162" s="562">
        <v>15</v>
      </c>
      <c r="B162" s="560" t="s">
        <v>857</v>
      </c>
      <c r="C162" s="558" t="s">
        <v>862</v>
      </c>
    </row>
    <row r="164" spans="1:10">
      <c r="A164" s="562">
        <v>16</v>
      </c>
      <c r="B164" s="558" t="s">
        <v>865</v>
      </c>
    </row>
    <row r="165" spans="1:10">
      <c r="B165" s="333" t="s">
        <v>694</v>
      </c>
      <c r="C165" s="575">
        <v>0</v>
      </c>
    </row>
    <row r="166" spans="1:10">
      <c r="B166" s="352" t="s">
        <v>695</v>
      </c>
      <c r="C166" s="350">
        <v>15</v>
      </c>
    </row>
    <row r="167" spans="1:10">
      <c r="B167" s="352" t="s">
        <v>696</v>
      </c>
      <c r="C167" s="350">
        <v>12</v>
      </c>
    </row>
    <row r="168" spans="1:10">
      <c r="B168" s="352" t="s">
        <v>704</v>
      </c>
      <c r="C168" s="353">
        <v>0</v>
      </c>
    </row>
    <row r="170" spans="1:10">
      <c r="B170" s="357" t="s">
        <v>292</v>
      </c>
      <c r="C170" s="358">
        <v>0.55000000000000004</v>
      </c>
      <c r="D170" s="358">
        <f t="shared" ref="D170:I170" si="61">+C170+5%</f>
        <v>0.60000000000000009</v>
      </c>
      <c r="E170" s="358">
        <f t="shared" si="61"/>
        <v>0.65000000000000013</v>
      </c>
      <c r="F170" s="358">
        <f t="shared" si="61"/>
        <v>0.70000000000000018</v>
      </c>
      <c r="G170" s="358">
        <f t="shared" si="61"/>
        <v>0.75000000000000022</v>
      </c>
      <c r="H170" s="358">
        <f t="shared" si="61"/>
        <v>0.80000000000000027</v>
      </c>
      <c r="I170" s="358">
        <f t="shared" si="61"/>
        <v>0.85000000000000031</v>
      </c>
    </row>
    <row r="176" spans="1:10" customFormat="1" ht="28.5">
      <c r="A176" s="553"/>
      <c r="B176" s="541" t="s">
        <v>773</v>
      </c>
      <c r="D176" s="365"/>
      <c r="E176" s="365"/>
      <c r="F176" s="365"/>
      <c r="G176" s="365"/>
      <c r="H176" s="365"/>
      <c r="I176" s="365"/>
      <c r="J176" s="365"/>
    </row>
    <row r="177" spans="2:12" customFormat="1" ht="26.25">
      <c r="B177" s="546" t="s">
        <v>774</v>
      </c>
      <c r="C177" s="546" t="s">
        <v>0</v>
      </c>
      <c r="D177" s="547" t="s">
        <v>775</v>
      </c>
      <c r="E177" s="547"/>
      <c r="F177" s="547" t="s">
        <v>379</v>
      </c>
      <c r="G177" s="548" t="s">
        <v>776</v>
      </c>
      <c r="H177" s="548" t="s">
        <v>777</v>
      </c>
    </row>
    <row r="178" spans="2:12" customFormat="1">
      <c r="B178" s="445">
        <v>1</v>
      </c>
      <c r="C178" s="367" t="s">
        <v>778</v>
      </c>
      <c r="D178" s="445" t="s">
        <v>779</v>
      </c>
      <c r="E178" s="445" t="s">
        <v>780</v>
      </c>
      <c r="F178" s="445">
        <v>0</v>
      </c>
      <c r="G178" s="368">
        <v>40000</v>
      </c>
      <c r="H178" s="368">
        <f t="shared" ref="H178:H184" si="62">F178*G178*12/100000</f>
        <v>0</v>
      </c>
    </row>
    <row r="179" spans="2:12" customFormat="1">
      <c r="B179" s="445">
        <v>2</v>
      </c>
      <c r="C179" s="367" t="s">
        <v>781</v>
      </c>
      <c r="D179" s="445" t="s">
        <v>779</v>
      </c>
      <c r="E179" s="445" t="s">
        <v>782</v>
      </c>
      <c r="F179" s="445">
        <v>0</v>
      </c>
      <c r="G179" s="368">
        <v>18000</v>
      </c>
      <c r="H179" s="368">
        <f t="shared" si="62"/>
        <v>0</v>
      </c>
    </row>
    <row r="180" spans="2:12" customFormat="1" ht="26.25">
      <c r="B180" s="445">
        <v>3</v>
      </c>
      <c r="C180" s="367" t="s">
        <v>783</v>
      </c>
      <c r="D180" s="445" t="s">
        <v>779</v>
      </c>
      <c r="E180" s="445" t="s">
        <v>782</v>
      </c>
      <c r="F180" s="445">
        <v>0</v>
      </c>
      <c r="G180" s="368">
        <v>18000</v>
      </c>
      <c r="H180" s="368">
        <f t="shared" si="62"/>
        <v>0</v>
      </c>
    </row>
    <row r="181" spans="2:12" customFormat="1">
      <c r="B181" s="445">
        <v>4</v>
      </c>
      <c r="C181" s="446" t="s">
        <v>784</v>
      </c>
      <c r="D181" s="445" t="s">
        <v>779</v>
      </c>
      <c r="E181" s="445" t="s">
        <v>780</v>
      </c>
      <c r="F181" s="445">
        <v>1</v>
      </c>
      <c r="G181" s="368">
        <v>18000</v>
      </c>
      <c r="H181" s="368">
        <f t="shared" si="62"/>
        <v>2.16</v>
      </c>
    </row>
    <row r="182" spans="2:12" customFormat="1">
      <c r="B182" s="445">
        <v>5</v>
      </c>
      <c r="C182" s="367" t="s">
        <v>184</v>
      </c>
      <c r="D182" s="445" t="s">
        <v>779</v>
      </c>
      <c r="E182" s="445" t="s">
        <v>782</v>
      </c>
      <c r="F182" s="445">
        <v>1</v>
      </c>
      <c r="G182" s="368">
        <v>9000</v>
      </c>
      <c r="H182" s="368">
        <f t="shared" si="62"/>
        <v>1.08</v>
      </c>
    </row>
    <row r="183" spans="2:12" customFormat="1">
      <c r="B183" s="445">
        <v>6</v>
      </c>
      <c r="C183" s="367" t="s">
        <v>785</v>
      </c>
      <c r="D183" s="445" t="s">
        <v>779</v>
      </c>
      <c r="E183" s="445" t="s">
        <v>782</v>
      </c>
      <c r="F183" s="445">
        <v>1</v>
      </c>
      <c r="G183" s="368">
        <v>9000</v>
      </c>
      <c r="H183" s="368">
        <f t="shared" si="62"/>
        <v>1.08</v>
      </c>
      <c r="K183">
        <v>600</v>
      </c>
    </row>
    <row r="184" spans="2:12" customFormat="1">
      <c r="B184" s="445">
        <v>7</v>
      </c>
      <c r="C184" s="367" t="s">
        <v>786</v>
      </c>
      <c r="D184" s="445" t="s">
        <v>779</v>
      </c>
      <c r="E184" s="445" t="s">
        <v>780</v>
      </c>
      <c r="F184" s="445">
        <v>1</v>
      </c>
      <c r="G184" s="368">
        <v>7000</v>
      </c>
      <c r="H184" s="368">
        <f t="shared" si="62"/>
        <v>0.84</v>
      </c>
    </row>
    <row r="185" spans="2:12" customFormat="1">
      <c r="B185" s="445"/>
      <c r="C185" s="367"/>
      <c r="D185" s="445"/>
      <c r="E185" s="445"/>
      <c r="F185" s="445"/>
      <c r="G185" s="368"/>
      <c r="H185" s="368"/>
    </row>
    <row r="186" spans="2:12" customFormat="1">
      <c r="B186" s="445">
        <v>8</v>
      </c>
      <c r="C186" s="367" t="s">
        <v>787</v>
      </c>
      <c r="D186" s="445" t="s">
        <v>788</v>
      </c>
      <c r="E186" s="445" t="s">
        <v>780</v>
      </c>
      <c r="F186" s="445">
        <v>1</v>
      </c>
      <c r="G186" s="368">
        <v>18000</v>
      </c>
      <c r="H186" s="368">
        <f t="shared" ref="H186:H192" si="63">F186*G186*12/100000</f>
        <v>2.16</v>
      </c>
    </row>
    <row r="187" spans="2:12" customFormat="1" ht="26.25">
      <c r="B187" s="445">
        <v>9</v>
      </c>
      <c r="C187" s="367" t="s">
        <v>789</v>
      </c>
      <c r="D187" s="445" t="s">
        <v>788</v>
      </c>
      <c r="E187" s="445" t="s">
        <v>780</v>
      </c>
      <c r="F187" s="445">
        <v>0</v>
      </c>
      <c r="G187" s="368">
        <v>15000</v>
      </c>
      <c r="H187" s="368">
        <f t="shared" si="63"/>
        <v>0</v>
      </c>
    </row>
    <row r="188" spans="2:12" customFormat="1">
      <c r="B188" s="445">
        <v>10</v>
      </c>
      <c r="C188" s="367" t="s">
        <v>790</v>
      </c>
      <c r="D188" s="445" t="s">
        <v>788</v>
      </c>
      <c r="E188" s="445" t="s">
        <v>791</v>
      </c>
      <c r="F188" s="445">
        <v>1</v>
      </c>
      <c r="G188" s="368">
        <v>17000</v>
      </c>
      <c r="H188" s="368">
        <f t="shared" si="63"/>
        <v>2.04</v>
      </c>
    </row>
    <row r="189" spans="2:12" customFormat="1">
      <c r="B189" s="445">
        <v>11</v>
      </c>
      <c r="C189" s="367" t="s">
        <v>792</v>
      </c>
      <c r="D189" s="445" t="s">
        <v>788</v>
      </c>
      <c r="E189" s="445" t="s">
        <v>780</v>
      </c>
      <c r="F189" s="445">
        <v>1</v>
      </c>
      <c r="G189" s="368">
        <v>10000</v>
      </c>
      <c r="H189" s="368">
        <f t="shared" si="63"/>
        <v>1.2</v>
      </c>
    </row>
    <row r="190" spans="2:12" customFormat="1">
      <c r="B190" s="445">
        <v>12</v>
      </c>
      <c r="C190" s="367" t="s">
        <v>793</v>
      </c>
      <c r="D190" s="445" t="s">
        <v>788</v>
      </c>
      <c r="E190" s="445"/>
      <c r="F190" s="445">
        <v>0</v>
      </c>
      <c r="G190" s="368">
        <v>8000</v>
      </c>
      <c r="H190" s="368">
        <f t="shared" si="63"/>
        <v>0</v>
      </c>
    </row>
    <row r="191" spans="2:12" customFormat="1">
      <c r="B191" s="445">
        <v>13</v>
      </c>
      <c r="C191" s="372" t="s">
        <v>794</v>
      </c>
      <c r="D191" s="445" t="s">
        <v>788</v>
      </c>
      <c r="E191" s="445" t="s">
        <v>780</v>
      </c>
      <c r="F191" s="445">
        <v>1</v>
      </c>
      <c r="G191" s="368">
        <v>11000</v>
      </c>
      <c r="H191" s="368">
        <f t="shared" si="63"/>
        <v>1.32</v>
      </c>
    </row>
    <row r="192" spans="2:12" customFormat="1">
      <c r="B192" s="445">
        <v>14</v>
      </c>
      <c r="C192" s="372" t="s">
        <v>795</v>
      </c>
      <c r="D192" s="445" t="s">
        <v>788</v>
      </c>
      <c r="E192" s="445" t="s">
        <v>791</v>
      </c>
      <c r="F192" s="445">
        <v>2</v>
      </c>
      <c r="G192" s="368">
        <v>0</v>
      </c>
      <c r="H192" s="368">
        <f t="shared" si="63"/>
        <v>0</v>
      </c>
      <c r="L192">
        <v>1.7</v>
      </c>
    </row>
    <row r="193" spans="2:12" customFormat="1">
      <c r="B193" s="367"/>
      <c r="C193" s="369" t="s">
        <v>1</v>
      </c>
      <c r="D193" s="445"/>
      <c r="E193" s="445"/>
      <c r="F193" s="447">
        <f>SUM(F178:F192)</f>
        <v>10</v>
      </c>
      <c r="G193" s="448"/>
      <c r="H193" s="448">
        <f>SUM(H178:H192)</f>
        <v>11.879999999999999</v>
      </c>
    </row>
    <row r="194" spans="2:12" customFormat="1">
      <c r="B194" s="367"/>
      <c r="C194" s="367"/>
      <c r="D194" s="445"/>
      <c r="E194" s="445"/>
      <c r="F194" s="445"/>
      <c r="G194" s="368"/>
      <c r="H194" s="368"/>
    </row>
    <row r="195" spans="2:12" customFormat="1">
      <c r="B195" s="367"/>
      <c r="C195" s="369" t="s">
        <v>796</v>
      </c>
      <c r="D195" s="445" t="s">
        <v>788</v>
      </c>
      <c r="E195" s="445"/>
      <c r="F195" s="449">
        <v>10</v>
      </c>
      <c r="G195" s="450" t="s">
        <v>797</v>
      </c>
      <c r="H195" s="450" t="s">
        <v>2</v>
      </c>
    </row>
    <row r="196" spans="2:12" customFormat="1"/>
    <row r="197" spans="2:12" customFormat="1">
      <c r="B197" s="10"/>
      <c r="C197" s="10" t="s">
        <v>2</v>
      </c>
      <c r="D197" s="10" t="s">
        <v>3</v>
      </c>
      <c r="E197" s="10" t="s">
        <v>4</v>
      </c>
      <c r="F197" s="10" t="s">
        <v>5</v>
      </c>
      <c r="G197" s="10" t="s">
        <v>6</v>
      </c>
      <c r="H197" s="10" t="s">
        <v>164</v>
      </c>
      <c r="I197" s="327" t="s">
        <v>163</v>
      </c>
      <c r="J197" s="451"/>
      <c r="K197" s="251"/>
      <c r="L197" s="251"/>
    </row>
    <row r="198" spans="2:12" customFormat="1">
      <c r="B198" s="369" t="s">
        <v>796</v>
      </c>
      <c r="C198" s="10">
        <v>15</v>
      </c>
      <c r="D198" s="10">
        <f t="shared" ref="D198:I198" si="64">ROUND(C198*1.1,0)</f>
        <v>17</v>
      </c>
      <c r="E198" s="10">
        <f t="shared" si="64"/>
        <v>19</v>
      </c>
      <c r="F198" s="10">
        <f t="shared" si="64"/>
        <v>21</v>
      </c>
      <c r="G198" s="10">
        <f t="shared" si="64"/>
        <v>23</v>
      </c>
      <c r="H198" s="10">
        <f t="shared" si="64"/>
        <v>25</v>
      </c>
      <c r="I198" s="327">
        <f t="shared" si="64"/>
        <v>28</v>
      </c>
      <c r="J198" s="452"/>
      <c r="K198" s="249"/>
      <c r="L198" s="249"/>
    </row>
    <row r="199" spans="2:12" customFormat="1">
      <c r="D199" s="365"/>
      <c r="E199" s="365"/>
      <c r="F199" s="365"/>
      <c r="G199" s="365"/>
      <c r="H199" s="365"/>
      <c r="I199" s="365"/>
      <c r="J199" s="365"/>
    </row>
    <row r="200" spans="2:12" customFormat="1">
      <c r="D200" s="365"/>
      <c r="E200" s="365"/>
      <c r="F200" s="365"/>
      <c r="G200" s="365"/>
      <c r="H200" s="365"/>
      <c r="I200" s="365"/>
      <c r="J200" s="365"/>
    </row>
    <row r="201" spans="2:12" customFormat="1">
      <c r="D201" s="365"/>
      <c r="E201" s="365"/>
      <c r="F201" s="365"/>
      <c r="G201" s="365"/>
      <c r="H201" s="365"/>
      <c r="I201" s="365"/>
      <c r="J201" s="365"/>
    </row>
    <row r="202" spans="2:12" customFormat="1" ht="26.25">
      <c r="B202" s="545" t="s">
        <v>802</v>
      </c>
      <c r="C202" s="549"/>
      <c r="D202" s="550"/>
      <c r="E202" s="550"/>
      <c r="F202" s="365"/>
      <c r="G202" s="365"/>
      <c r="H202" s="365"/>
      <c r="I202" s="365"/>
      <c r="J202" s="365"/>
    </row>
    <row r="203" spans="2:12" customFormat="1">
      <c r="B203" s="779" t="s">
        <v>800</v>
      </c>
      <c r="C203" s="779"/>
      <c r="D203" s="779"/>
      <c r="E203" s="779"/>
      <c r="F203" s="365"/>
      <c r="G203" s="365"/>
      <c r="H203" s="365"/>
      <c r="I203" s="365"/>
      <c r="J203" s="365"/>
    </row>
    <row r="204" spans="2:12" customFormat="1">
      <c r="B204" s="367">
        <v>5</v>
      </c>
      <c r="C204" s="367">
        <v>200</v>
      </c>
      <c r="D204" s="367">
        <v>12</v>
      </c>
      <c r="E204" s="366">
        <f>B204*C204*D204</f>
        <v>12000</v>
      </c>
      <c r="F204" s="365"/>
      <c r="G204" s="365"/>
      <c r="H204" s="365"/>
      <c r="I204" s="365"/>
      <c r="J204" s="365"/>
    </row>
    <row r="205" spans="2:12" customFormat="1">
      <c r="B205" s="367"/>
      <c r="C205" s="367"/>
      <c r="D205" s="367"/>
      <c r="E205" s="366"/>
      <c r="F205" s="365"/>
      <c r="G205" s="365"/>
      <c r="H205" s="365"/>
      <c r="I205" s="365"/>
      <c r="J205" s="365"/>
    </row>
    <row r="206" spans="2:12" customFormat="1">
      <c r="B206" s="367">
        <v>145</v>
      </c>
      <c r="C206" s="367">
        <v>200</v>
      </c>
      <c r="D206" s="367">
        <v>12</v>
      </c>
      <c r="E206" s="367">
        <f>B206*C206*D206</f>
        <v>348000</v>
      </c>
      <c r="F206" s="365"/>
      <c r="G206" s="365"/>
      <c r="H206" s="365"/>
      <c r="I206" s="365"/>
      <c r="J206" s="365">
        <v>150</v>
      </c>
    </row>
    <row r="207" spans="2:12" customFormat="1">
      <c r="B207" s="780" t="s">
        <v>801</v>
      </c>
      <c r="C207" s="781"/>
      <c r="D207" s="781"/>
      <c r="E207" s="782"/>
      <c r="F207" s="365"/>
      <c r="G207" s="365"/>
      <c r="H207" s="365"/>
      <c r="I207" s="365"/>
      <c r="J207" s="365"/>
      <c r="K207">
        <v>200</v>
      </c>
      <c r="L207">
        <v>63</v>
      </c>
    </row>
    <row r="208" spans="2:12" customFormat="1">
      <c r="B208" s="367">
        <f>B206+B204</f>
        <v>150</v>
      </c>
      <c r="C208" s="367"/>
      <c r="D208" s="367"/>
      <c r="E208" s="367"/>
      <c r="F208" s="365"/>
      <c r="G208" s="365"/>
      <c r="H208" s="365"/>
      <c r="I208" s="365"/>
      <c r="J208" s="365"/>
      <c r="K208">
        <f>+K207/1.07</f>
        <v>186.91588785046727</v>
      </c>
      <c r="L208">
        <f>+L207*0.993</f>
        <v>62.558999999999997</v>
      </c>
    </row>
    <row r="209" spans="2:10" customFormat="1">
      <c r="B209" s="367"/>
      <c r="C209" s="367"/>
      <c r="D209" s="367"/>
      <c r="E209" s="367"/>
      <c r="F209" s="365"/>
      <c r="G209" s="365"/>
      <c r="H209" s="365"/>
      <c r="I209" s="365"/>
      <c r="J209" s="365"/>
    </row>
    <row r="210" spans="2:10" customFormat="1">
      <c r="B210" s="367">
        <v>0.8</v>
      </c>
      <c r="C210" s="367"/>
      <c r="D210" s="367"/>
      <c r="E210" s="367"/>
      <c r="F210" s="365"/>
      <c r="G210" s="365"/>
      <c r="H210" s="365"/>
      <c r="I210" s="365"/>
      <c r="J210" s="365"/>
    </row>
    <row r="211" spans="2:10" customFormat="1">
      <c r="B211" s="367">
        <v>0.8</v>
      </c>
      <c r="C211" s="367"/>
      <c r="D211" s="367"/>
      <c r="E211" s="367"/>
      <c r="F211" s="365"/>
      <c r="G211" s="365"/>
      <c r="H211" s="365"/>
      <c r="I211" s="365"/>
      <c r="J211" s="365"/>
    </row>
    <row r="212" spans="2:10" customFormat="1">
      <c r="B212" s="367">
        <v>10</v>
      </c>
      <c r="C212" s="367"/>
      <c r="D212" s="367"/>
      <c r="E212" s="367"/>
      <c r="F212" s="365"/>
      <c r="G212" s="365"/>
      <c r="H212" s="365"/>
      <c r="I212" s="365"/>
      <c r="J212" s="365"/>
    </row>
    <row r="213" spans="2:10" customFormat="1">
      <c r="B213" s="367">
        <v>10</v>
      </c>
      <c r="C213" s="367"/>
      <c r="D213" s="367"/>
      <c r="E213" s="367"/>
      <c r="F213" s="365"/>
      <c r="G213" s="365"/>
      <c r="H213" s="365"/>
      <c r="I213" s="365"/>
      <c r="J213" s="365"/>
    </row>
    <row r="214" spans="2:10" customFormat="1">
      <c r="B214" s="366">
        <f>B208*B210*B211*B212*B213</f>
        <v>9600</v>
      </c>
      <c r="C214" s="367"/>
      <c r="D214" s="367"/>
      <c r="E214" s="367"/>
      <c r="F214" s="365"/>
      <c r="G214" s="365"/>
      <c r="H214" s="365"/>
      <c r="I214" s="365"/>
      <c r="J214" s="365"/>
    </row>
    <row r="217" spans="2:10" ht="18.75">
      <c r="B217" s="586" t="s">
        <v>866</v>
      </c>
    </row>
    <row r="218" spans="2:10">
      <c r="B218" s="583" t="s">
        <v>679</v>
      </c>
      <c r="C218" s="330" t="s">
        <v>0</v>
      </c>
      <c r="D218" s="584" t="s">
        <v>2</v>
      </c>
      <c r="E218" s="584" t="s">
        <v>3</v>
      </c>
      <c r="F218" s="584" t="s">
        <v>4</v>
      </c>
      <c r="G218" s="584" t="s">
        <v>5</v>
      </c>
      <c r="H218" s="584" t="s">
        <v>6</v>
      </c>
      <c r="I218" s="584" t="s">
        <v>164</v>
      </c>
      <c r="J218" s="587" t="s">
        <v>163</v>
      </c>
    </row>
    <row r="219" spans="2:10">
      <c r="B219" s="341" t="s">
        <v>168</v>
      </c>
      <c r="C219" s="320" t="s">
        <v>867</v>
      </c>
      <c r="D219" s="336">
        <v>10</v>
      </c>
      <c r="E219" s="336">
        <f>+ROUND(D219*1.05,)</f>
        <v>11</v>
      </c>
      <c r="F219" s="336">
        <f t="shared" ref="F219:J219" si="65">+ROUND(E219*1.05,)</f>
        <v>12</v>
      </c>
      <c r="G219" s="336">
        <f t="shared" si="65"/>
        <v>13</v>
      </c>
      <c r="H219" s="336">
        <f t="shared" si="65"/>
        <v>14</v>
      </c>
      <c r="I219" s="336">
        <f t="shared" si="65"/>
        <v>15</v>
      </c>
      <c r="J219" s="588">
        <f t="shared" si="65"/>
        <v>16</v>
      </c>
    </row>
    <row r="220" spans="2:10">
      <c r="C220" s="336" t="s">
        <v>869</v>
      </c>
      <c r="D220" s="342">
        <v>200</v>
      </c>
      <c r="E220" s="417">
        <f t="shared" ref="E220:J220" si="66">ROUND(D220*1.05,-1)</f>
        <v>210</v>
      </c>
      <c r="F220" s="417">
        <f t="shared" si="66"/>
        <v>220</v>
      </c>
      <c r="G220" s="417">
        <f t="shared" si="66"/>
        <v>230</v>
      </c>
      <c r="H220" s="417">
        <f t="shared" si="66"/>
        <v>240</v>
      </c>
      <c r="I220" s="417">
        <f t="shared" si="66"/>
        <v>250</v>
      </c>
      <c r="J220" s="417">
        <f t="shared" si="66"/>
        <v>260</v>
      </c>
    </row>
    <row r="222" spans="2:10">
      <c r="C222" s="320" t="s">
        <v>870</v>
      </c>
      <c r="D222" s="336">
        <v>10</v>
      </c>
      <c r="E222" s="336">
        <f>+ROUND(D222*1.05,)</f>
        <v>11</v>
      </c>
      <c r="F222" s="336">
        <f t="shared" ref="F222:J222" si="67">+ROUND(E222*1.05,)</f>
        <v>12</v>
      </c>
      <c r="G222" s="336">
        <f t="shared" si="67"/>
        <v>13</v>
      </c>
      <c r="H222" s="336">
        <f t="shared" si="67"/>
        <v>14</v>
      </c>
      <c r="I222" s="336">
        <f t="shared" si="67"/>
        <v>15</v>
      </c>
      <c r="J222" s="588">
        <f t="shared" si="67"/>
        <v>16</v>
      </c>
    </row>
    <row r="223" spans="2:10">
      <c r="C223" s="336" t="s">
        <v>869</v>
      </c>
      <c r="D223" s="417">
        <v>100</v>
      </c>
      <c r="E223" s="417">
        <f t="shared" ref="E223:J223" si="68">ROUND(D223*1.05,-1)</f>
        <v>110</v>
      </c>
      <c r="F223" s="417">
        <f t="shared" si="68"/>
        <v>120</v>
      </c>
      <c r="G223" s="417">
        <f t="shared" si="68"/>
        <v>130</v>
      </c>
      <c r="H223" s="417">
        <f t="shared" si="68"/>
        <v>140</v>
      </c>
      <c r="I223" s="417">
        <f t="shared" si="68"/>
        <v>150</v>
      </c>
      <c r="J223" s="417">
        <f t="shared" si="68"/>
        <v>160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5" sqref="D5"/>
    </sheetView>
  </sheetViews>
  <sheetFormatPr defaultRowHeight="15"/>
  <cols>
    <col min="2" max="2" width="7.5703125" bestFit="1" customWidth="1"/>
    <col min="3" max="3" width="26.28515625" bestFit="1" customWidth="1"/>
    <col min="4" max="4" width="15" style="365" customWidth="1"/>
    <col min="5" max="5" width="16" style="365" customWidth="1"/>
    <col min="6" max="6" width="17.85546875" style="365" customWidth="1"/>
  </cols>
  <sheetData>
    <row r="2" spans="1:13" ht="18.75">
      <c r="B2" s="703" t="s">
        <v>520</v>
      </c>
      <c r="C2" s="703"/>
      <c r="D2" s="703"/>
      <c r="E2" s="703"/>
      <c r="F2" s="703"/>
    </row>
    <row r="3" spans="1:13" ht="15.75" thickBot="1">
      <c r="M3">
        <v>86</v>
      </c>
    </row>
    <row r="4" spans="1:13" ht="15.75" thickBot="1">
      <c r="B4" s="299" t="s">
        <v>140</v>
      </c>
      <c r="C4" s="299" t="s">
        <v>125</v>
      </c>
      <c r="D4" s="492" t="s">
        <v>154</v>
      </c>
      <c r="E4" s="493" t="s">
        <v>455</v>
      </c>
      <c r="F4" s="493" t="s">
        <v>456</v>
      </c>
      <c r="M4" s="677">
        <v>8.4499999999999993</v>
      </c>
    </row>
    <row r="5" spans="1:13" ht="15.75" thickBot="1">
      <c r="B5" s="300">
        <v>1</v>
      </c>
      <c r="C5" s="301" t="str">
        <f>'2.Capex Details'!B2</f>
        <v>Land and Building</v>
      </c>
      <c r="D5" s="494">
        <f>'2.Capex Details'!G12</f>
        <v>175.06</v>
      </c>
      <c r="E5" s="495">
        <v>0.6</v>
      </c>
      <c r="F5" s="496">
        <f>D5*E5</f>
        <v>105.036</v>
      </c>
      <c r="M5" s="678">
        <v>24.5</v>
      </c>
    </row>
    <row r="6" spans="1:13" ht="15.75" thickBot="1">
      <c r="B6" s="300">
        <v>2</v>
      </c>
      <c r="C6" s="301" t="str">
        <f>'2.Capex Details'!B17</f>
        <v>Machinery and Equipment</v>
      </c>
      <c r="D6" s="494">
        <f>'2.Capex Details'!G67</f>
        <v>144.35000000000002</v>
      </c>
      <c r="E6" s="495">
        <v>0.6</v>
      </c>
      <c r="F6" s="496">
        <f t="shared" ref="F6:F10" si="0">D6*E6</f>
        <v>86.610000000000014</v>
      </c>
      <c r="J6" s="365">
        <f>+J12-J11-J10</f>
        <v>300.29418395833335</v>
      </c>
      <c r="M6" s="678">
        <v>7.9</v>
      </c>
    </row>
    <row r="7" spans="1:13" ht="15.75" thickBot="1">
      <c r="B7" s="300">
        <v>3</v>
      </c>
      <c r="C7" s="301" t="str">
        <f>'2.Capex Details'!B73</f>
        <v>Furniture and Fixture</v>
      </c>
      <c r="D7" s="494">
        <f>'2.Capex Details'!F82</f>
        <v>0</v>
      </c>
      <c r="E7" s="495">
        <v>0.6</v>
      </c>
      <c r="F7" s="496">
        <f t="shared" si="0"/>
        <v>0</v>
      </c>
      <c r="J7">
        <v>0</v>
      </c>
      <c r="M7" s="678">
        <v>2.8</v>
      </c>
    </row>
    <row r="8" spans="1:13" ht="15.75" thickBot="1">
      <c r="B8" s="300">
        <v>4</v>
      </c>
      <c r="C8" s="301" t="str">
        <f>'2.Capex Details'!B87</f>
        <v>IT &amp; It Infrastracture</v>
      </c>
      <c r="D8" s="494">
        <f>'2.Capex Details'!F96</f>
        <v>0</v>
      </c>
      <c r="E8" s="495">
        <v>0.6</v>
      </c>
      <c r="F8" s="496">
        <f t="shared" si="0"/>
        <v>0</v>
      </c>
      <c r="J8">
        <v>0</v>
      </c>
      <c r="M8" s="678">
        <v>11.2</v>
      </c>
    </row>
    <row r="9" spans="1:13" ht="26.25" thickBot="1">
      <c r="B9" s="300">
        <v>5</v>
      </c>
      <c r="C9" s="301" t="str">
        <f>'2.Capex Details'!B101</f>
        <v>Transport vehical  (Refer van and other)</v>
      </c>
      <c r="D9" s="494">
        <f>'2.Capex Details'!F107</f>
        <v>0</v>
      </c>
      <c r="E9" s="495">
        <v>0.6</v>
      </c>
      <c r="F9" s="496">
        <f t="shared" si="0"/>
        <v>0</v>
      </c>
      <c r="J9">
        <v>0</v>
      </c>
      <c r="M9" s="678"/>
    </row>
    <row r="10" spans="1:13" ht="15.75" thickBot="1">
      <c r="B10" s="300">
        <v>6</v>
      </c>
      <c r="C10" s="301" t="str">
        <f>'2.Capex Details'!B111</f>
        <v>Preliminary Expenses</v>
      </c>
      <c r="D10" s="494">
        <f>'2.Capex Details'!D119</f>
        <v>15.970500000000001</v>
      </c>
      <c r="E10" s="495">
        <v>0.6</v>
      </c>
      <c r="F10" s="496">
        <f t="shared" si="0"/>
        <v>9.5823</v>
      </c>
      <c r="J10">
        <v>13.808500000000002</v>
      </c>
      <c r="K10">
        <v>5</v>
      </c>
      <c r="L10" t="s">
        <v>403</v>
      </c>
      <c r="M10" s="679">
        <v>3.5</v>
      </c>
    </row>
    <row r="11" spans="1:13" ht="15.75" thickBot="1">
      <c r="B11" s="300">
        <v>7</v>
      </c>
      <c r="C11" s="301" t="s">
        <v>152</v>
      </c>
      <c r="D11" s="494">
        <f>'5.Closing Stock &amp; W Capital'!E57</f>
        <v>4.8644673373287688</v>
      </c>
      <c r="E11" s="496"/>
      <c r="F11" s="496"/>
      <c r="J11">
        <v>3.8973160416666675</v>
      </c>
      <c r="M11" s="679">
        <v>15.97</v>
      </c>
    </row>
    <row r="12" spans="1:13" ht="15.75" thickBot="1">
      <c r="B12" s="702" t="s">
        <v>1</v>
      </c>
      <c r="C12" s="702"/>
      <c r="D12" s="497">
        <f>SUM(D5:D11)</f>
        <v>340.24496733732883</v>
      </c>
      <c r="E12" s="496"/>
      <c r="F12" s="497">
        <f>SUM(F5:F11)</f>
        <v>201.22830000000002</v>
      </c>
      <c r="H12">
        <v>329.54</v>
      </c>
      <c r="I12" s="365">
        <f>+D12-H12</f>
        <v>10.70496733732881</v>
      </c>
      <c r="J12" s="365">
        <v>318</v>
      </c>
      <c r="M12" s="679">
        <v>5.15</v>
      </c>
    </row>
    <row r="13" spans="1:13">
      <c r="M13">
        <v>48</v>
      </c>
    </row>
    <row r="14" spans="1:13" ht="25.5" customHeight="1">
      <c r="A14" s="705" t="s">
        <v>404</v>
      </c>
      <c r="B14" s="705"/>
      <c r="C14" s="705"/>
      <c r="D14" s="705"/>
      <c r="E14" s="705"/>
      <c r="F14" s="705"/>
      <c r="M14">
        <v>11.64</v>
      </c>
    </row>
    <row r="15" spans="1:13">
      <c r="M15">
        <f>M13+M14</f>
        <v>59.64</v>
      </c>
    </row>
    <row r="16" spans="1:13" ht="18.75">
      <c r="B16" s="703" t="s">
        <v>521</v>
      </c>
      <c r="C16" s="703"/>
      <c r="D16" s="703"/>
      <c r="E16" s="703"/>
      <c r="F16" s="703"/>
      <c r="M16">
        <v>19.05</v>
      </c>
    </row>
    <row r="17" spans="2:13">
      <c r="M17">
        <f>M15+M16</f>
        <v>78.69</v>
      </c>
    </row>
    <row r="18" spans="2:13">
      <c r="B18" s="298" t="s">
        <v>140</v>
      </c>
      <c r="C18" s="299" t="s">
        <v>125</v>
      </c>
      <c r="D18" s="492" t="s">
        <v>613</v>
      </c>
      <c r="E18" s="492" t="s">
        <v>154</v>
      </c>
      <c r="F18" s="492" t="s">
        <v>447</v>
      </c>
    </row>
    <row r="19" spans="2:13">
      <c r="B19" s="300">
        <v>3</v>
      </c>
      <c r="C19" s="301" t="s">
        <v>130</v>
      </c>
      <c r="D19" s="498"/>
      <c r="E19" s="498">
        <f>D12-E20-E21</f>
        <v>71.940567337328801</v>
      </c>
      <c r="F19" s="551">
        <f>+E19/E22</f>
        <v>0.21143756482371365</v>
      </c>
    </row>
    <row r="20" spans="2:13" ht="25.5">
      <c r="B20" s="300">
        <v>1</v>
      </c>
      <c r="C20" s="301" t="s">
        <v>320</v>
      </c>
      <c r="D20" s="498"/>
      <c r="E20" s="498">
        <f>F12</f>
        <v>201.22830000000002</v>
      </c>
      <c r="F20" s="551">
        <f>+E20/E22</f>
        <v>0.59142182638221474</v>
      </c>
    </row>
    <row r="21" spans="2:13">
      <c r="B21" s="300">
        <v>2</v>
      </c>
      <c r="C21" s="301" t="s">
        <v>153</v>
      </c>
      <c r="D21" s="616">
        <v>0.2</v>
      </c>
      <c r="E21" s="498">
        <f>SUM(D5:D10)*D21</f>
        <v>67.076100000000011</v>
      </c>
      <c r="F21" s="551">
        <f>+E21/E22</f>
        <v>0.19714060879407161</v>
      </c>
    </row>
    <row r="22" spans="2:13">
      <c r="B22" s="702" t="s">
        <v>1</v>
      </c>
      <c r="C22" s="702"/>
      <c r="D22" s="499"/>
      <c r="E22" s="499">
        <f>SUM(E19:E21)</f>
        <v>340.24496733732883</v>
      </c>
      <c r="F22" s="278">
        <v>1</v>
      </c>
    </row>
    <row r="24" spans="2:13">
      <c r="B24" s="704" t="s">
        <v>405</v>
      </c>
      <c r="C24" s="704"/>
      <c r="D24" s="704"/>
      <c r="E24" s="704"/>
      <c r="F24" s="704"/>
    </row>
    <row r="26" spans="2:13" ht="18.75">
      <c r="B26" s="701" t="s">
        <v>522</v>
      </c>
      <c r="C26" s="701"/>
      <c r="D26" s="701"/>
      <c r="E26" s="701"/>
      <c r="F26" s="701"/>
      <c r="K26">
        <v>23000</v>
      </c>
      <c r="L26">
        <v>300</v>
      </c>
      <c r="M26">
        <f>+L26*K26</f>
        <v>6900000</v>
      </c>
    </row>
    <row r="27" spans="2:13">
      <c r="B27" s="302" t="s">
        <v>140</v>
      </c>
      <c r="C27" s="303" t="s">
        <v>569</v>
      </c>
      <c r="D27" s="500" t="s">
        <v>570</v>
      </c>
      <c r="E27" s="501" t="s">
        <v>571</v>
      </c>
      <c r="F27" s="699" t="s">
        <v>572</v>
      </c>
      <c r="G27" s="700"/>
      <c r="K27">
        <v>5476405</v>
      </c>
    </row>
    <row r="28" spans="2:13" ht="25.5">
      <c r="B28" s="304">
        <v>1</v>
      </c>
      <c r="C28" s="301" t="s">
        <v>365</v>
      </c>
      <c r="D28" s="634">
        <f>'9. Financial indiacators'!C46</f>
        <v>0.45192056107200457</v>
      </c>
      <c r="E28" s="502" t="s">
        <v>366</v>
      </c>
      <c r="F28" s="503" t="s">
        <v>573</v>
      </c>
      <c r="G28" s="304" t="s">
        <v>367</v>
      </c>
      <c r="K28">
        <f>+K27/K26</f>
        <v>238.1045652173913</v>
      </c>
    </row>
    <row r="29" spans="2:13" ht="38.25">
      <c r="B29" s="304">
        <v>2</v>
      </c>
      <c r="C29" s="301" t="s">
        <v>368</v>
      </c>
      <c r="D29" s="634">
        <f>'9. Financial indiacators'!C82</f>
        <v>0.20874622821740618</v>
      </c>
      <c r="E29" s="502" t="s">
        <v>366</v>
      </c>
      <c r="F29" s="503" t="s">
        <v>574</v>
      </c>
      <c r="G29" s="304" t="s">
        <v>369</v>
      </c>
    </row>
    <row r="30" spans="2:13" ht="38.25">
      <c r="B30" s="304">
        <v>3</v>
      </c>
      <c r="C30" s="301" t="s">
        <v>370</v>
      </c>
      <c r="D30" s="634">
        <f>'9. Financial indiacators'!C16</f>
        <v>0.14872384142477535</v>
      </c>
      <c r="E30" s="502" t="s">
        <v>366</v>
      </c>
      <c r="F30" s="503" t="s">
        <v>575</v>
      </c>
      <c r="G30" s="304" t="s">
        <v>371</v>
      </c>
    </row>
    <row r="31" spans="2:13" ht="63.75">
      <c r="B31" s="304">
        <v>4</v>
      </c>
      <c r="C31" s="301" t="s">
        <v>372</v>
      </c>
      <c r="D31" s="620">
        <f>'9. Financial indiacators'!C70</f>
        <v>66.090954719263436</v>
      </c>
      <c r="E31" s="502" t="s">
        <v>376</v>
      </c>
      <c r="F31" s="503" t="s">
        <v>576</v>
      </c>
      <c r="G31" s="304" t="s">
        <v>373</v>
      </c>
    </row>
    <row r="32" spans="2:13" ht="51">
      <c r="B32" s="304">
        <v>5</v>
      </c>
      <c r="C32" s="301" t="s">
        <v>374</v>
      </c>
      <c r="D32" s="502">
        <f>'9. Financial indiacators'!D98</f>
        <v>4.6137034416727403</v>
      </c>
      <c r="E32" s="502" t="s">
        <v>366</v>
      </c>
      <c r="F32" s="503" t="s">
        <v>577</v>
      </c>
      <c r="G32" s="304" t="s">
        <v>377</v>
      </c>
    </row>
    <row r="33" spans="2:7" ht="38.25">
      <c r="B33" s="304">
        <v>6</v>
      </c>
      <c r="C33" s="305" t="s">
        <v>375</v>
      </c>
      <c r="D33" s="502">
        <f>+'9. Financial indiacators'!C116</f>
        <v>2.4892256439779885</v>
      </c>
      <c r="E33" s="504" t="s">
        <v>366</v>
      </c>
      <c r="F33" s="503" t="s">
        <v>578</v>
      </c>
      <c r="G33" s="305" t="s">
        <v>378</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5"/>
  <sheetViews>
    <sheetView view="pageBreakPreview" zoomScale="80" zoomScaleSheetLayoutView="80" workbookViewId="0">
      <selection activeCell="E7" sqref="E7"/>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s>
  <sheetData>
    <row r="2" spans="1:9" ht="18.75">
      <c r="A2">
        <v>2.1</v>
      </c>
      <c r="B2" s="703" t="s">
        <v>150</v>
      </c>
      <c r="C2" s="703"/>
      <c r="D2" s="703"/>
      <c r="E2" s="703"/>
      <c r="F2" s="703"/>
      <c r="G2" s="703"/>
    </row>
    <row r="4" spans="1:9" ht="28.5">
      <c r="B4" s="177" t="s">
        <v>140</v>
      </c>
      <c r="C4" s="177" t="s">
        <v>125</v>
      </c>
      <c r="D4" s="177" t="s">
        <v>128</v>
      </c>
      <c r="E4" s="177" t="s">
        <v>141</v>
      </c>
      <c r="F4" s="177" t="s">
        <v>142</v>
      </c>
      <c r="G4" s="379" t="s">
        <v>154</v>
      </c>
    </row>
    <row r="5" spans="1:9">
      <c r="B5" s="222">
        <v>1</v>
      </c>
      <c r="C5" s="222" t="s">
        <v>143</v>
      </c>
      <c r="D5" s="222" t="s">
        <v>144</v>
      </c>
      <c r="E5" s="306"/>
      <c r="F5" s="307"/>
      <c r="G5" s="380" t="s">
        <v>145</v>
      </c>
    </row>
    <row r="6" spans="1:9">
      <c r="B6" s="222"/>
      <c r="C6" s="377" t="s">
        <v>949</v>
      </c>
      <c r="D6" s="223" t="s">
        <v>289</v>
      </c>
      <c r="E6" s="190">
        <v>1080</v>
      </c>
      <c r="F6" s="191">
        <f>+G6*100000/E6</f>
        <v>11950</v>
      </c>
      <c r="G6" s="381">
        <v>129.06</v>
      </c>
      <c r="I6">
        <f>+G6*0.6</f>
        <v>77.435999999999993</v>
      </c>
    </row>
    <row r="7" spans="1:9">
      <c r="B7" s="222"/>
      <c r="C7" s="222" t="s">
        <v>958</v>
      </c>
      <c r="D7" s="222" t="s">
        <v>928</v>
      </c>
      <c r="E7" s="190">
        <v>277.55</v>
      </c>
      <c r="F7" s="191">
        <f>+G7*100000/E7</f>
        <v>16573.590344082146</v>
      </c>
      <c r="G7" s="381">
        <v>46</v>
      </c>
      <c r="I7">
        <f>+G7*0.6</f>
        <v>27.599999999999998</v>
      </c>
    </row>
    <row r="8" spans="1:9">
      <c r="B8" s="222"/>
      <c r="C8" s="222"/>
      <c r="D8" s="223"/>
      <c r="E8" s="190"/>
      <c r="F8" s="191"/>
      <c r="G8" s="381">
        <f t="shared" ref="G8:G11" si="0">E8*F8</f>
        <v>0</v>
      </c>
    </row>
    <row r="9" spans="1:9">
      <c r="B9" s="222"/>
      <c r="C9" s="222"/>
      <c r="D9" s="223"/>
      <c r="E9" s="190"/>
      <c r="F9" s="191"/>
      <c r="G9" s="381">
        <f t="shared" si="0"/>
        <v>0</v>
      </c>
    </row>
    <row r="10" spans="1:9">
      <c r="B10" s="222"/>
      <c r="C10" s="222"/>
      <c r="D10" s="223"/>
      <c r="E10" s="190"/>
      <c r="F10" s="191"/>
      <c r="G10" s="381">
        <f t="shared" si="0"/>
        <v>0</v>
      </c>
    </row>
    <row r="11" spans="1:9">
      <c r="B11" s="222"/>
      <c r="C11" s="222"/>
      <c r="D11" s="223"/>
      <c r="E11" s="190"/>
      <c r="F11" s="191"/>
      <c r="G11" s="381">
        <f t="shared" si="0"/>
        <v>0</v>
      </c>
    </row>
    <row r="12" spans="1:9">
      <c r="B12" s="713" t="s">
        <v>1</v>
      </c>
      <c r="C12" s="713"/>
      <c r="D12" s="713"/>
      <c r="E12" s="713"/>
      <c r="F12" s="713"/>
      <c r="G12" s="382">
        <f>SUM(G6:G11)</f>
        <v>175.06</v>
      </c>
    </row>
    <row r="15" spans="1:9">
      <c r="B15" s="704" t="s">
        <v>399</v>
      </c>
      <c r="C15" s="704"/>
      <c r="D15" s="704"/>
      <c r="E15" s="704"/>
      <c r="F15" s="704"/>
      <c r="G15" s="704"/>
    </row>
    <row r="17" spans="1:8" ht="18.75">
      <c r="A17">
        <v>2.2000000000000002</v>
      </c>
      <c r="B17" s="703" t="s">
        <v>151</v>
      </c>
      <c r="C17" s="703"/>
      <c r="D17" s="703"/>
      <c r="E17" s="703"/>
      <c r="F17" s="703"/>
      <c r="G17" s="703"/>
      <c r="H17" s="703"/>
    </row>
    <row r="18" spans="1:8">
      <c r="B18" s="19"/>
    </row>
    <row r="19" spans="1:8" ht="28.5">
      <c r="B19" s="276" t="s">
        <v>140</v>
      </c>
      <c r="C19" s="276" t="s">
        <v>146</v>
      </c>
      <c r="D19" s="276" t="s">
        <v>156</v>
      </c>
      <c r="E19" s="276" t="s">
        <v>147</v>
      </c>
      <c r="F19" s="276" t="s">
        <v>148</v>
      </c>
      <c r="G19" s="379" t="s">
        <v>154</v>
      </c>
      <c r="H19" s="276" t="s">
        <v>149</v>
      </c>
    </row>
    <row r="20" spans="1:8">
      <c r="B20" s="199"/>
      <c r="C20" s="192"/>
      <c r="D20" s="192"/>
      <c r="E20" s="192"/>
      <c r="F20" s="192"/>
      <c r="G20" s="378"/>
      <c r="H20" s="192"/>
    </row>
    <row r="21" spans="1:8">
      <c r="B21" s="195" t="s">
        <v>168</v>
      </c>
      <c r="C21" s="194" t="s">
        <v>351</v>
      </c>
      <c r="D21" s="194"/>
      <c r="E21" s="195"/>
      <c r="F21" s="196"/>
      <c r="G21" s="378">
        <f t="shared" ref="G21:G31" si="1">E21*F21</f>
        <v>0</v>
      </c>
      <c r="H21" s="197"/>
    </row>
    <row r="22" spans="1:8">
      <c r="B22" s="195"/>
      <c r="C22" s="194"/>
      <c r="D22" s="194"/>
      <c r="E22" s="195"/>
      <c r="F22" s="196"/>
      <c r="G22" s="378">
        <f t="shared" si="1"/>
        <v>0</v>
      </c>
      <c r="H22" s="197"/>
    </row>
    <row r="23" spans="1:8">
      <c r="B23" s="195"/>
      <c r="C23" s="194"/>
      <c r="D23" s="194"/>
      <c r="E23" s="195"/>
      <c r="F23" s="196"/>
      <c r="G23" s="378">
        <f t="shared" si="1"/>
        <v>0</v>
      </c>
      <c r="H23" s="197"/>
    </row>
    <row r="24" spans="1:8">
      <c r="B24" s="195"/>
      <c r="C24" s="194"/>
      <c r="D24" s="194"/>
      <c r="E24" s="195"/>
      <c r="F24" s="196"/>
      <c r="G24" s="378">
        <f t="shared" si="1"/>
        <v>0</v>
      </c>
      <c r="H24" s="197"/>
    </row>
    <row r="25" spans="1:8">
      <c r="B25" s="195"/>
      <c r="C25" s="194"/>
      <c r="D25" s="194"/>
      <c r="E25" s="195"/>
      <c r="F25" s="196"/>
      <c r="G25" s="378">
        <f t="shared" si="1"/>
        <v>0</v>
      </c>
      <c r="H25" s="197"/>
    </row>
    <row r="26" spans="1:8">
      <c r="B26" s="195"/>
      <c r="C26" s="194"/>
      <c r="D26" s="194"/>
      <c r="E26" s="195"/>
      <c r="F26" s="196"/>
      <c r="G26" s="378">
        <f t="shared" si="1"/>
        <v>0</v>
      </c>
      <c r="H26" s="197"/>
    </row>
    <row r="27" spans="1:8">
      <c r="B27" s="195"/>
      <c r="C27" s="194"/>
      <c r="D27" s="194"/>
      <c r="E27" s="195"/>
      <c r="F27" s="196"/>
      <c r="G27" s="378">
        <f t="shared" si="1"/>
        <v>0</v>
      </c>
      <c r="H27" s="197"/>
    </row>
    <row r="28" spans="1:8">
      <c r="B28" s="195"/>
      <c r="C28" s="194"/>
      <c r="D28" s="194"/>
      <c r="E28" s="195"/>
      <c r="F28" s="196"/>
      <c r="G28" s="378">
        <f t="shared" si="1"/>
        <v>0</v>
      </c>
      <c r="H28" s="197"/>
    </row>
    <row r="29" spans="1:8">
      <c r="B29" s="195"/>
      <c r="C29" s="194"/>
      <c r="D29" s="195"/>
      <c r="E29" s="195"/>
      <c r="F29" s="196"/>
      <c r="G29" s="378">
        <f t="shared" si="1"/>
        <v>0</v>
      </c>
      <c r="H29" s="197"/>
    </row>
    <row r="30" spans="1:8">
      <c r="B30" s="195"/>
      <c r="C30" s="194"/>
      <c r="D30" s="195"/>
      <c r="E30" s="195"/>
      <c r="F30" s="196"/>
      <c r="G30" s="378">
        <f t="shared" si="1"/>
        <v>0</v>
      </c>
      <c r="H30" s="197"/>
    </row>
    <row r="31" spans="1:8">
      <c r="B31" s="195"/>
      <c r="C31" s="194"/>
      <c r="D31" s="195"/>
      <c r="E31" s="195"/>
      <c r="F31" s="196"/>
      <c r="G31" s="378">
        <f t="shared" si="1"/>
        <v>0</v>
      </c>
      <c r="H31" s="197"/>
    </row>
    <row r="32" spans="1:8">
      <c r="B32" s="709" t="s">
        <v>166</v>
      </c>
      <c r="C32" s="709"/>
      <c r="D32" s="195"/>
      <c r="E32" s="195"/>
      <c r="F32" s="198"/>
      <c r="G32" s="378">
        <f>SUM(G21:G31)</f>
        <v>0</v>
      </c>
      <c r="H32" s="193">
        <f>SUM(H21:H31)</f>
        <v>0</v>
      </c>
    </row>
    <row r="33" spans="2:8">
      <c r="B33" s="195" t="s">
        <v>169</v>
      </c>
      <c r="C33" s="194" t="s">
        <v>283</v>
      </c>
      <c r="D33" s="199"/>
      <c r="E33" s="199"/>
      <c r="F33" s="193"/>
      <c r="G33" s="378"/>
      <c r="H33" s="192"/>
    </row>
    <row r="34" spans="2:8">
      <c r="B34" s="199"/>
      <c r="C34" s="200"/>
      <c r="D34" s="200"/>
      <c r="E34" s="199"/>
      <c r="F34" s="193"/>
      <c r="G34" s="378">
        <f t="shared" ref="G34:G39" si="2">E34*F34</f>
        <v>0</v>
      </c>
      <c r="H34" s="192"/>
    </row>
    <row r="35" spans="2:8">
      <c r="B35" s="199"/>
      <c r="C35" s="200"/>
      <c r="D35" s="199"/>
      <c r="E35" s="199"/>
      <c r="F35" s="193"/>
      <c r="G35" s="378">
        <f t="shared" si="2"/>
        <v>0</v>
      </c>
      <c r="H35" s="192"/>
    </row>
    <row r="36" spans="2:8">
      <c r="B36" s="199"/>
      <c r="C36" s="200"/>
      <c r="D36" s="199"/>
      <c r="E36" s="199"/>
      <c r="F36" s="193"/>
      <c r="G36" s="378">
        <f t="shared" si="2"/>
        <v>0</v>
      </c>
      <c r="H36" s="192"/>
    </row>
    <row r="37" spans="2:8">
      <c r="B37" s="199"/>
      <c r="C37" s="200"/>
      <c r="D37" s="199"/>
      <c r="E37" s="199"/>
      <c r="F37" s="193"/>
      <c r="G37" s="378">
        <f t="shared" si="2"/>
        <v>0</v>
      </c>
      <c r="H37" s="192"/>
    </row>
    <row r="38" spans="2:8">
      <c r="B38" s="199"/>
      <c r="C38" s="200"/>
      <c r="D38" s="199"/>
      <c r="E38" s="199"/>
      <c r="F38" s="193"/>
      <c r="G38" s="378">
        <f t="shared" si="2"/>
        <v>0</v>
      </c>
      <c r="H38" s="192"/>
    </row>
    <row r="39" spans="2:8">
      <c r="B39" s="199"/>
      <c r="C39" s="200"/>
      <c r="D39" s="199"/>
      <c r="E39" s="199"/>
      <c r="F39" s="193"/>
      <c r="G39" s="378">
        <f t="shared" si="2"/>
        <v>0</v>
      </c>
      <c r="H39" s="192"/>
    </row>
    <row r="40" spans="2:8">
      <c r="B40" s="199"/>
      <c r="C40" s="200"/>
      <c r="D40" s="199"/>
      <c r="E40" s="199"/>
      <c r="F40" s="193"/>
      <c r="G40" s="378">
        <f t="shared" ref="G40:G46" si="3">F40</f>
        <v>0</v>
      </c>
      <c r="H40" s="192"/>
    </row>
    <row r="41" spans="2:8">
      <c r="B41" s="199"/>
      <c r="C41" s="200"/>
      <c r="D41" s="199"/>
      <c r="E41" s="199"/>
      <c r="F41" s="193"/>
      <c r="G41" s="378">
        <f t="shared" si="3"/>
        <v>0</v>
      </c>
      <c r="H41" s="192"/>
    </row>
    <row r="42" spans="2:8">
      <c r="B42" s="199"/>
      <c r="C42" s="200"/>
      <c r="D42" s="199"/>
      <c r="E42" s="199"/>
      <c r="F42" s="193"/>
      <c r="G42" s="378">
        <f t="shared" si="3"/>
        <v>0</v>
      </c>
      <c r="H42" s="192"/>
    </row>
    <row r="43" spans="2:8">
      <c r="B43" s="199"/>
      <c r="C43" s="200"/>
      <c r="D43" s="199"/>
      <c r="E43" s="199"/>
      <c r="F43" s="193"/>
      <c r="G43" s="378">
        <f t="shared" si="3"/>
        <v>0</v>
      </c>
      <c r="H43" s="192"/>
    </row>
    <row r="44" spans="2:8">
      <c r="B44" s="199"/>
      <c r="C44" s="200"/>
      <c r="D44" s="199"/>
      <c r="E44" s="199"/>
      <c r="F44" s="193"/>
      <c r="G44" s="378">
        <f t="shared" si="3"/>
        <v>0</v>
      </c>
      <c r="H44" s="192"/>
    </row>
    <row r="45" spans="2:8">
      <c r="B45" s="199"/>
      <c r="C45" s="200"/>
      <c r="D45" s="199"/>
      <c r="E45" s="199"/>
      <c r="F45" s="193"/>
      <c r="G45" s="378">
        <f t="shared" si="3"/>
        <v>0</v>
      </c>
      <c r="H45" s="192"/>
    </row>
    <row r="46" spans="2:8">
      <c r="B46" s="199"/>
      <c r="C46" s="200"/>
      <c r="D46" s="199"/>
      <c r="E46" s="199"/>
      <c r="F46" s="193"/>
      <c r="G46" s="378">
        <f t="shared" si="3"/>
        <v>0</v>
      </c>
      <c r="H46" s="192"/>
    </row>
    <row r="47" spans="2:8">
      <c r="B47" s="709" t="s">
        <v>166</v>
      </c>
      <c r="C47" s="709"/>
      <c r="D47" s="195"/>
      <c r="E47" s="195"/>
      <c r="F47" s="198"/>
      <c r="G47" s="383">
        <f>SUM(G34:G46)</f>
        <v>0</v>
      </c>
      <c r="H47" s="198">
        <f>SUM(H34:H46)</f>
        <v>0</v>
      </c>
    </row>
    <row r="48" spans="2:8">
      <c r="B48" s="199"/>
      <c r="C48" s="200"/>
      <c r="D48" s="199"/>
      <c r="E48" s="199"/>
      <c r="F48" s="193"/>
      <c r="G48" s="378"/>
      <c r="H48" s="192"/>
    </row>
    <row r="49" spans="2:13">
      <c r="B49" s="195" t="s">
        <v>170</v>
      </c>
      <c r="C49" s="194" t="s">
        <v>352</v>
      </c>
      <c r="D49" s="199"/>
      <c r="E49" s="199"/>
      <c r="F49" s="193"/>
      <c r="G49" s="378">
        <f t="shared" ref="G49:G54" si="4">E49*F49</f>
        <v>0</v>
      </c>
      <c r="H49" s="192"/>
    </row>
    <row r="50" spans="2:13">
      <c r="B50" s="195"/>
      <c r="C50" s="194"/>
      <c r="D50" s="199"/>
      <c r="E50" s="199"/>
      <c r="F50" s="193"/>
      <c r="G50" s="378">
        <f t="shared" si="4"/>
        <v>0</v>
      </c>
      <c r="H50" s="192"/>
    </row>
    <row r="51" spans="2:13">
      <c r="B51" s="195"/>
      <c r="C51" s="194"/>
      <c r="D51" s="200"/>
      <c r="E51" s="199"/>
      <c r="F51" s="193"/>
      <c r="G51" s="378">
        <f t="shared" si="4"/>
        <v>0</v>
      </c>
      <c r="H51" s="192"/>
    </row>
    <row r="52" spans="2:13">
      <c r="B52" s="195"/>
      <c r="C52" s="194"/>
      <c r="D52" s="200"/>
      <c r="E52" s="199"/>
      <c r="F52" s="193"/>
      <c r="G52" s="378">
        <f t="shared" si="4"/>
        <v>0</v>
      </c>
      <c r="H52" s="192"/>
    </row>
    <row r="53" spans="2:13">
      <c r="B53" s="195"/>
      <c r="C53" s="194"/>
      <c r="D53" s="200"/>
      <c r="E53" s="199"/>
      <c r="F53" s="193"/>
      <c r="G53" s="378">
        <f t="shared" si="4"/>
        <v>0</v>
      </c>
      <c r="H53" s="192"/>
    </row>
    <row r="54" spans="2:13">
      <c r="B54" s="195"/>
      <c r="C54" s="194"/>
      <c r="D54" s="200"/>
      <c r="E54" s="199"/>
      <c r="F54" s="193"/>
      <c r="G54" s="378">
        <f t="shared" si="4"/>
        <v>0</v>
      </c>
      <c r="H54" s="192"/>
    </row>
    <row r="55" spans="2:13">
      <c r="B55" s="709" t="s">
        <v>166</v>
      </c>
      <c r="C55" s="709"/>
      <c r="D55" s="200"/>
      <c r="E55" s="199"/>
      <c r="F55" s="193"/>
      <c r="G55" s="378">
        <f>SUM(G49:G54)</f>
        <v>0</v>
      </c>
      <c r="H55" s="193">
        <f>SUM(H49:H54)</f>
        <v>0</v>
      </c>
    </row>
    <row r="56" spans="2:13">
      <c r="B56" s="195"/>
      <c r="C56" s="195"/>
      <c r="D56" s="200"/>
      <c r="E56" s="199"/>
      <c r="F56" s="193"/>
      <c r="G56" s="378"/>
      <c r="H56" s="193"/>
    </row>
    <row r="57" spans="2:13">
      <c r="B57" s="195" t="s">
        <v>171</v>
      </c>
      <c r="C57" s="195" t="s">
        <v>505</v>
      </c>
      <c r="D57" s="200"/>
      <c r="E57" s="199"/>
      <c r="F57" s="193"/>
      <c r="G57" s="378">
        <f>E57*F57</f>
        <v>0</v>
      </c>
      <c r="H57" s="193"/>
    </row>
    <row r="58" spans="2:13">
      <c r="B58" s="195"/>
      <c r="C58" s="377" t="s">
        <v>939</v>
      </c>
      <c r="D58" s="200" t="s">
        <v>957</v>
      </c>
      <c r="E58" s="199">
        <v>1</v>
      </c>
      <c r="F58" s="193">
        <v>8600000</v>
      </c>
      <c r="G58" s="378">
        <f t="shared" ref="G58:G64" si="5">E58*F58/100000</f>
        <v>86</v>
      </c>
      <c r="H58" s="193"/>
      <c r="I58">
        <f>+G58*0.6</f>
        <v>51.6</v>
      </c>
    </row>
    <row r="59" spans="2:13">
      <c r="B59" s="324"/>
      <c r="C59" s="194" t="s">
        <v>955</v>
      </c>
      <c r="D59" s="200" t="s">
        <v>956</v>
      </c>
      <c r="E59" s="199">
        <v>1</v>
      </c>
      <c r="F59" s="193">
        <v>845000</v>
      </c>
      <c r="G59" s="378">
        <f t="shared" si="5"/>
        <v>8.4499999999999993</v>
      </c>
      <c r="H59" s="192"/>
      <c r="I59">
        <f>+J59*0.6</f>
        <v>4.8</v>
      </c>
      <c r="J59">
        <v>8</v>
      </c>
    </row>
    <row r="60" spans="2:13">
      <c r="B60" s="324"/>
      <c r="C60" s="194" t="s">
        <v>965</v>
      </c>
      <c r="D60" s="200" t="s">
        <v>966</v>
      </c>
      <c r="E60" s="199">
        <v>1</v>
      </c>
      <c r="F60" s="193">
        <v>350000</v>
      </c>
      <c r="G60" s="378">
        <f t="shared" si="5"/>
        <v>3.5</v>
      </c>
      <c r="H60" s="192"/>
      <c r="I60">
        <f>+J60*0.6</f>
        <v>1.92</v>
      </c>
      <c r="J60">
        <v>3.2</v>
      </c>
    </row>
    <row r="61" spans="2:13">
      <c r="B61" s="636"/>
      <c r="C61" s="194" t="s">
        <v>980</v>
      </c>
      <c r="D61" s="200"/>
      <c r="E61" s="199">
        <v>1</v>
      </c>
      <c r="F61" s="193">
        <v>790000</v>
      </c>
      <c r="G61" s="378">
        <f t="shared" si="5"/>
        <v>7.9</v>
      </c>
      <c r="H61" s="192"/>
    </row>
    <row r="62" spans="2:13">
      <c r="B62" s="636"/>
      <c r="C62" s="194" t="s">
        <v>981</v>
      </c>
      <c r="D62" s="200"/>
      <c r="E62" s="199">
        <v>1</v>
      </c>
      <c r="F62" s="193">
        <v>280000</v>
      </c>
      <c r="G62" s="378">
        <f t="shared" si="5"/>
        <v>2.8</v>
      </c>
      <c r="H62" s="192"/>
    </row>
    <row r="63" spans="2:13">
      <c r="B63" s="636"/>
      <c r="C63" s="194" t="s">
        <v>982</v>
      </c>
      <c r="D63" s="200" t="s">
        <v>983</v>
      </c>
      <c r="E63" s="199">
        <v>1</v>
      </c>
      <c r="F63" s="193">
        <v>1120000</v>
      </c>
      <c r="G63" s="378">
        <f t="shared" si="5"/>
        <v>11.2</v>
      </c>
      <c r="H63" s="192"/>
    </row>
    <row r="64" spans="2:13">
      <c r="B64" s="324"/>
      <c r="C64" s="194" t="s">
        <v>967</v>
      </c>
      <c r="D64" s="200"/>
      <c r="E64" s="199">
        <v>1</v>
      </c>
      <c r="F64" s="193">
        <v>2450000</v>
      </c>
      <c r="G64" s="378">
        <f t="shared" si="5"/>
        <v>24.5</v>
      </c>
      <c r="H64" s="192"/>
      <c r="I64">
        <f>+G64*0.6</f>
        <v>14.7</v>
      </c>
      <c r="M64">
        <f>27+29+17</f>
        <v>73</v>
      </c>
    </row>
    <row r="65" spans="1:11">
      <c r="B65" s="709" t="s">
        <v>166</v>
      </c>
      <c r="C65" s="709"/>
      <c r="D65" s="200"/>
      <c r="E65" s="199"/>
      <c r="F65" s="193"/>
      <c r="G65" s="378">
        <f>SUM(G57:G64)</f>
        <v>144.35000000000002</v>
      </c>
      <c r="H65" s="193">
        <f>SUM(H57:H58)</f>
        <v>0</v>
      </c>
    </row>
    <row r="66" spans="1:11">
      <c r="B66" s="199"/>
      <c r="C66" s="200"/>
      <c r="D66" s="200"/>
      <c r="E66" s="199"/>
      <c r="F66" s="193"/>
      <c r="G66" s="378"/>
      <c r="H66" s="192"/>
    </row>
    <row r="67" spans="1:11">
      <c r="B67" s="710" t="s">
        <v>1</v>
      </c>
      <c r="C67" s="710"/>
      <c r="D67" s="710"/>
      <c r="E67" s="710"/>
      <c r="F67" s="710"/>
      <c r="G67" s="384">
        <f>G55+G47+G32+G65</f>
        <v>144.35000000000002</v>
      </c>
      <c r="H67" s="189">
        <f>H47+H21+H55+H65</f>
        <v>0</v>
      </c>
    </row>
    <row r="68" spans="1:11">
      <c r="B68" s="19"/>
    </row>
    <row r="69" spans="1:11">
      <c r="B69" s="704" t="s">
        <v>400</v>
      </c>
      <c r="C69" s="704"/>
      <c r="D69" s="704"/>
      <c r="E69" s="704"/>
      <c r="F69" s="704"/>
      <c r="G69" s="704"/>
      <c r="H69" s="704"/>
    </row>
    <row r="70" spans="1:11">
      <c r="B70" s="19"/>
      <c r="I70" s="19"/>
      <c r="J70" s="19"/>
      <c r="K70" s="20"/>
    </row>
    <row r="73" spans="1:11" ht="18.75">
      <c r="A73">
        <v>2.2999999999999998</v>
      </c>
      <c r="B73" s="703" t="s">
        <v>363</v>
      </c>
      <c r="C73" s="703"/>
      <c r="D73" s="703"/>
      <c r="E73" s="703"/>
      <c r="F73" s="703"/>
    </row>
    <row r="75" spans="1:11" ht="30">
      <c r="B75" s="22" t="s">
        <v>140</v>
      </c>
      <c r="C75" s="48" t="s">
        <v>125</v>
      </c>
      <c r="D75" s="48" t="s">
        <v>147</v>
      </c>
      <c r="E75" s="48" t="s">
        <v>148</v>
      </c>
      <c r="F75" s="48" t="s">
        <v>154</v>
      </c>
    </row>
    <row r="76" spans="1:11">
      <c r="B76" s="201">
        <v>1</v>
      </c>
      <c r="C76" s="224"/>
      <c r="D76" s="201"/>
      <c r="E76" s="202"/>
      <c r="F76" s="203">
        <f t="shared" ref="F76:F81" si="6">D76*E76</f>
        <v>0</v>
      </c>
    </row>
    <row r="77" spans="1:11">
      <c r="B77" s="201"/>
      <c r="C77" s="224"/>
      <c r="D77" s="201"/>
      <c r="E77" s="202"/>
      <c r="F77" s="203">
        <f t="shared" si="6"/>
        <v>0</v>
      </c>
    </row>
    <row r="78" spans="1:11">
      <c r="B78" s="201"/>
      <c r="C78" s="224"/>
      <c r="D78" s="201"/>
      <c r="E78" s="202"/>
      <c r="F78" s="203">
        <f t="shared" si="6"/>
        <v>0</v>
      </c>
    </row>
    <row r="79" spans="1:11">
      <c r="B79" s="201"/>
      <c r="C79" s="224"/>
      <c r="D79" s="201"/>
      <c r="E79" s="202"/>
      <c r="F79" s="203">
        <f t="shared" si="6"/>
        <v>0</v>
      </c>
    </row>
    <row r="80" spans="1:11">
      <c r="B80" s="201"/>
      <c r="C80" s="224"/>
      <c r="D80" s="201"/>
      <c r="E80" s="202"/>
      <c r="F80" s="203">
        <f t="shared" si="6"/>
        <v>0</v>
      </c>
    </row>
    <row r="81" spans="1:7">
      <c r="B81" s="201"/>
      <c r="C81" s="224"/>
      <c r="D81" s="201"/>
      <c r="E81" s="202"/>
      <c r="F81" s="203">
        <f t="shared" si="6"/>
        <v>0</v>
      </c>
    </row>
    <row r="82" spans="1:7">
      <c r="B82" s="712" t="s">
        <v>1</v>
      </c>
      <c r="C82" s="712"/>
      <c r="D82" s="712"/>
      <c r="E82" s="712"/>
      <c r="F82" s="21">
        <f>SUM(F76:F81)</f>
        <v>0</v>
      </c>
    </row>
    <row r="84" spans="1:7">
      <c r="A84" s="704" t="s">
        <v>401</v>
      </c>
      <c r="B84" s="704"/>
      <c r="C84" s="704"/>
      <c r="D84" s="704"/>
      <c r="E84" s="704"/>
      <c r="F84" s="704"/>
      <c r="G84" s="704"/>
    </row>
    <row r="87" spans="1:7" ht="18.75">
      <c r="A87">
        <v>2.4</v>
      </c>
      <c r="B87" s="703" t="s">
        <v>362</v>
      </c>
      <c r="C87" s="703"/>
      <c r="D87" s="703"/>
      <c r="E87" s="703"/>
      <c r="F87" s="703"/>
    </row>
    <row r="89" spans="1:7" ht="30">
      <c r="B89" s="22" t="s">
        <v>140</v>
      </c>
      <c r="C89" s="51" t="s">
        <v>125</v>
      </c>
      <c r="D89" s="51" t="s">
        <v>147</v>
      </c>
      <c r="E89" s="51" t="s">
        <v>148</v>
      </c>
      <c r="F89" s="51" t="s">
        <v>154</v>
      </c>
    </row>
    <row r="90" spans="1:7">
      <c r="B90" s="201">
        <v>1</v>
      </c>
      <c r="C90" s="224"/>
      <c r="D90" s="201"/>
      <c r="E90" s="202"/>
      <c r="F90" s="203">
        <f t="shared" ref="F90:F95" si="7">D90*E90</f>
        <v>0</v>
      </c>
    </row>
    <row r="91" spans="1:7">
      <c r="B91" s="201"/>
      <c r="C91" s="224"/>
      <c r="D91" s="201"/>
      <c r="E91" s="202"/>
      <c r="F91" s="203">
        <f t="shared" si="7"/>
        <v>0</v>
      </c>
    </row>
    <row r="92" spans="1:7">
      <c r="B92" s="201"/>
      <c r="C92" s="224"/>
      <c r="D92" s="201"/>
      <c r="E92" s="202"/>
      <c r="F92" s="203">
        <f t="shared" si="7"/>
        <v>0</v>
      </c>
    </row>
    <row r="93" spans="1:7">
      <c r="B93" s="201"/>
      <c r="C93" s="224"/>
      <c r="D93" s="201"/>
      <c r="E93" s="202"/>
      <c r="F93" s="203">
        <f t="shared" si="7"/>
        <v>0</v>
      </c>
    </row>
    <row r="94" spans="1:7">
      <c r="B94" s="201"/>
      <c r="C94" s="224"/>
      <c r="D94" s="201"/>
      <c r="E94" s="202"/>
      <c r="F94" s="203">
        <f t="shared" si="7"/>
        <v>0</v>
      </c>
    </row>
    <row r="95" spans="1:7">
      <c r="B95" s="201"/>
      <c r="C95" s="224"/>
      <c r="D95" s="201"/>
      <c r="E95" s="202"/>
      <c r="F95" s="203">
        <f t="shared" si="7"/>
        <v>0</v>
      </c>
    </row>
    <row r="96" spans="1:7">
      <c r="B96" s="712" t="s">
        <v>1</v>
      </c>
      <c r="C96" s="712"/>
      <c r="D96" s="712"/>
      <c r="E96" s="712"/>
      <c r="F96" s="21">
        <f>SUM(F90:F95)</f>
        <v>0</v>
      </c>
    </row>
    <row r="98" spans="1:7">
      <c r="A98" s="704" t="s">
        <v>401</v>
      </c>
      <c r="B98" s="704"/>
      <c r="C98" s="704"/>
      <c r="D98" s="704"/>
      <c r="E98" s="704"/>
      <c r="F98" s="704"/>
      <c r="G98" s="704"/>
    </row>
    <row r="101" spans="1:7" ht="18.75">
      <c r="A101">
        <v>2.5</v>
      </c>
      <c r="B101" s="703" t="s">
        <v>606</v>
      </c>
      <c r="C101" s="703"/>
      <c r="D101" s="703"/>
      <c r="E101" s="703"/>
      <c r="F101" s="703"/>
    </row>
    <row r="103" spans="1:7" ht="28.5">
      <c r="B103" s="176" t="s">
        <v>140</v>
      </c>
      <c r="C103" s="177" t="s">
        <v>125</v>
      </c>
      <c r="D103" s="177" t="s">
        <v>147</v>
      </c>
      <c r="E103" s="177" t="s">
        <v>148</v>
      </c>
      <c r="F103" s="177" t="s">
        <v>154</v>
      </c>
    </row>
    <row r="104" spans="1:7">
      <c r="B104" s="199">
        <v>1</v>
      </c>
      <c r="C104" s="200"/>
      <c r="D104" s="199"/>
      <c r="E104" s="204"/>
      <c r="F104" s="193">
        <f>E104*D104</f>
        <v>0</v>
      </c>
    </row>
    <row r="105" spans="1:7">
      <c r="B105" s="199"/>
      <c r="C105" s="200"/>
      <c r="D105" s="199"/>
      <c r="E105" s="204"/>
      <c r="F105" s="193">
        <f>E105*D105</f>
        <v>0</v>
      </c>
    </row>
    <row r="106" spans="1:7">
      <c r="B106" s="199"/>
      <c r="C106" s="200"/>
      <c r="D106" s="199"/>
      <c r="E106" s="204"/>
      <c r="F106" s="193">
        <f>E106*D106</f>
        <v>0</v>
      </c>
    </row>
    <row r="107" spans="1:7">
      <c r="B107" s="710" t="s">
        <v>1</v>
      </c>
      <c r="C107" s="710"/>
      <c r="D107" s="710"/>
      <c r="E107" s="710"/>
      <c r="F107" s="179">
        <f>SUM(F104:F106)</f>
        <v>0</v>
      </c>
    </row>
    <row r="108" spans="1:7">
      <c r="A108" s="711" t="s">
        <v>438</v>
      </c>
      <c r="B108" s="711"/>
      <c r="C108" s="711"/>
      <c r="D108" s="711"/>
      <c r="E108" s="711"/>
      <c r="F108" s="711"/>
      <c r="G108" s="711"/>
    </row>
    <row r="111" spans="1:7" ht="18.75">
      <c r="A111">
        <v>2.6</v>
      </c>
      <c r="B111" s="703" t="s">
        <v>247</v>
      </c>
      <c r="C111" s="703"/>
      <c r="D111" s="703"/>
    </row>
    <row r="112" spans="1:7" ht="15.75" thickBot="1"/>
    <row r="113" spans="1:5" ht="29.25" thickBot="1">
      <c r="B113" s="187" t="s">
        <v>140</v>
      </c>
      <c r="C113" s="188" t="s">
        <v>125</v>
      </c>
      <c r="D113" s="188" t="s">
        <v>361</v>
      </c>
    </row>
    <row r="114" spans="1:5" ht="15.75" thickBot="1">
      <c r="B114" s="225">
        <v>1</v>
      </c>
      <c r="C114" s="226" t="s">
        <v>742</v>
      </c>
      <c r="D114" s="385">
        <f>+(G67+G12)*5%</f>
        <v>15.970500000000001</v>
      </c>
    </row>
    <row r="115" spans="1:5" ht="15.75" thickBot="1">
      <c r="B115" s="225">
        <v>2</v>
      </c>
      <c r="C115" s="226"/>
      <c r="D115" s="205"/>
    </row>
    <row r="116" spans="1:5" ht="15.75" thickBot="1">
      <c r="B116" s="225">
        <v>3</v>
      </c>
      <c r="C116" s="226"/>
      <c r="D116" s="205"/>
    </row>
    <row r="117" spans="1:5" ht="15.75" thickBot="1">
      <c r="B117" s="225"/>
      <c r="C117" s="226"/>
      <c r="D117" s="205"/>
    </row>
    <row r="118" spans="1:5" ht="15.75" thickBot="1">
      <c r="B118" s="225"/>
      <c r="C118" s="226"/>
      <c r="D118" s="205"/>
    </row>
    <row r="119" spans="1:5" ht="15.75" thickBot="1">
      <c r="B119" s="706" t="s">
        <v>1</v>
      </c>
      <c r="C119" s="707"/>
      <c r="D119" s="386">
        <f>SUM(D114:D118)</f>
        <v>15.970500000000001</v>
      </c>
    </row>
    <row r="121" spans="1:5" ht="26.1" customHeight="1" thickBot="1">
      <c r="A121" s="708" t="s">
        <v>439</v>
      </c>
      <c r="B121" s="708"/>
      <c r="C121" s="708"/>
      <c r="D121" s="708"/>
      <c r="E121" s="708"/>
    </row>
    <row r="122" spans="1:5" ht="26.1" customHeight="1" thickBot="1">
      <c r="A122" s="323">
        <v>2.7</v>
      </c>
      <c r="B122" s="187" t="s">
        <v>140</v>
      </c>
      <c r="C122" s="188" t="s">
        <v>125</v>
      </c>
      <c r="D122" s="188" t="s">
        <v>361</v>
      </c>
      <c r="E122" s="323"/>
    </row>
    <row r="123" spans="1:5" ht="26.1" customHeight="1" thickBot="1">
      <c r="A123" s="323"/>
      <c r="B123" s="225">
        <v>1</v>
      </c>
      <c r="C123" s="226" t="s">
        <v>152</v>
      </c>
      <c r="D123" s="385">
        <f>+'1.Project Cost and MOF'!D11</f>
        <v>4.8644673373287688</v>
      </c>
      <c r="E123" s="323"/>
    </row>
    <row r="124" spans="1:5" ht="26.1" customHeight="1" thickBot="1">
      <c r="A124" s="323"/>
      <c r="B124" s="706" t="s">
        <v>1</v>
      </c>
      <c r="C124" s="707"/>
      <c r="D124" s="386">
        <f>+D123</f>
        <v>4.8644673373287688</v>
      </c>
      <c r="E124" s="323"/>
    </row>
    <row r="125" spans="1:5" ht="26.1" customHeight="1">
      <c r="A125" s="323"/>
      <c r="B125" s="323"/>
      <c r="C125" s="323"/>
      <c r="D125" s="323"/>
      <c r="E125" s="323"/>
    </row>
  </sheetData>
  <mergeCells count="23">
    <mergeCell ref="B12:F12"/>
    <mergeCell ref="B2:G2"/>
    <mergeCell ref="B15:G15"/>
    <mergeCell ref="B69:H69"/>
    <mergeCell ref="B67:F67"/>
    <mergeCell ref="B17:H17"/>
    <mergeCell ref="B32:C32"/>
    <mergeCell ref="B47:C47"/>
    <mergeCell ref="B55:C55"/>
    <mergeCell ref="B124:C124"/>
    <mergeCell ref="B119:C119"/>
    <mergeCell ref="A121:E121"/>
    <mergeCell ref="B65:C65"/>
    <mergeCell ref="A98:G98"/>
    <mergeCell ref="B107:E107"/>
    <mergeCell ref="B101:F101"/>
    <mergeCell ref="A108:G108"/>
    <mergeCell ref="B111:D111"/>
    <mergeCell ref="B82:E82"/>
    <mergeCell ref="B73:F73"/>
    <mergeCell ref="A84:G84"/>
    <mergeCell ref="B96:E96"/>
    <mergeCell ref="B87:F87"/>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611" customWidth="1"/>
    <col min="7" max="7" width="27.28515625" bestFit="1" customWidth="1"/>
    <col min="8" max="8" width="12.28515625" bestFit="1" customWidth="1"/>
    <col min="9" max="9" width="11.7109375" bestFit="1" customWidth="1"/>
  </cols>
  <sheetData>
    <row r="2" spans="1:7" ht="18.75">
      <c r="A2" s="701" t="s">
        <v>527</v>
      </c>
      <c r="B2" s="701"/>
      <c r="C2" s="701"/>
      <c r="D2" s="701"/>
      <c r="E2" s="701"/>
      <c r="F2" s="701"/>
      <c r="G2" s="714"/>
    </row>
    <row r="3" spans="1:7">
      <c r="B3" s="15"/>
      <c r="C3" s="15"/>
      <c r="D3" s="15"/>
      <c r="E3" s="15"/>
      <c r="F3" s="617"/>
      <c r="G3" s="15"/>
    </row>
    <row r="4" spans="1:7">
      <c r="A4" s="79"/>
      <c r="B4" s="79"/>
      <c r="C4" s="79" t="s">
        <v>457</v>
      </c>
      <c r="D4" s="95">
        <f>'1.Project Cost and MOF'!E21</f>
        <v>67.076100000000011</v>
      </c>
      <c r="E4" s="79"/>
      <c r="F4" s="618"/>
      <c r="G4" s="79"/>
    </row>
    <row r="5" spans="1:7">
      <c r="A5" s="79"/>
      <c r="B5" s="79"/>
      <c r="C5" s="79" t="s">
        <v>458</v>
      </c>
      <c r="D5" s="632">
        <v>0.09</v>
      </c>
      <c r="E5" s="79"/>
      <c r="F5" s="618"/>
      <c r="G5" s="79"/>
    </row>
    <row r="6" spans="1:7">
      <c r="A6" s="79"/>
      <c r="B6" s="79"/>
      <c r="C6" s="79" t="s">
        <v>459</v>
      </c>
      <c r="D6" s="633">
        <v>4</v>
      </c>
      <c r="E6" s="79"/>
      <c r="F6" s="618"/>
      <c r="G6" s="79"/>
    </row>
    <row r="7" spans="1:7">
      <c r="A7" s="79"/>
      <c r="B7" s="79"/>
      <c r="C7" s="79" t="s">
        <v>460</v>
      </c>
      <c r="D7" s="633">
        <v>6</v>
      </c>
      <c r="E7" s="79"/>
      <c r="F7" s="618"/>
      <c r="G7" s="79"/>
    </row>
    <row r="8" spans="1:7">
      <c r="A8" s="79"/>
      <c r="B8" s="79"/>
      <c r="C8" s="79" t="s">
        <v>21</v>
      </c>
      <c r="D8" s="173">
        <f>PMT(D5/12,(D6-(D7/12))*12,-D4)</f>
        <v>1.8677016419448407</v>
      </c>
      <c r="E8" s="173"/>
      <c r="F8" s="618"/>
      <c r="G8" s="79"/>
    </row>
    <row r="9" spans="1:7">
      <c r="A9" s="122" t="s">
        <v>281</v>
      </c>
      <c r="B9" s="174" t="s">
        <v>17</v>
      </c>
      <c r="C9" s="175" t="s">
        <v>18</v>
      </c>
      <c r="D9" s="175" t="s">
        <v>19</v>
      </c>
      <c r="E9" s="175" t="s">
        <v>20</v>
      </c>
      <c r="F9" s="619" t="s">
        <v>21</v>
      </c>
      <c r="G9" s="175" t="s">
        <v>22</v>
      </c>
    </row>
    <row r="10" spans="1:7">
      <c r="A10" s="80" t="s">
        <v>10</v>
      </c>
      <c r="B10" s="80" t="s">
        <v>49</v>
      </c>
      <c r="C10" s="81">
        <f>D4</f>
        <v>67.076100000000011</v>
      </c>
      <c r="D10" s="362">
        <f t="shared" ref="D10:D41" si="0">C10*$D$5/12</f>
        <v>0.50307075000000012</v>
      </c>
      <c r="E10" s="81">
        <f t="shared" ref="E10:E15" si="1">F10-D10</f>
        <v>0</v>
      </c>
      <c r="F10" s="614">
        <f>D10</f>
        <v>0.50307075000000012</v>
      </c>
      <c r="G10" s="614">
        <f>C10-E10</f>
        <v>67.076100000000011</v>
      </c>
    </row>
    <row r="11" spans="1:7">
      <c r="A11" s="80"/>
      <c r="B11" s="80" t="s">
        <v>50</v>
      </c>
      <c r="C11" s="81">
        <f>G10</f>
        <v>67.076100000000011</v>
      </c>
      <c r="D11" s="362">
        <f t="shared" si="0"/>
        <v>0.50307075000000012</v>
      </c>
      <c r="E11" s="81">
        <f t="shared" si="1"/>
        <v>0</v>
      </c>
      <c r="F11" s="614">
        <f t="shared" ref="F11:F15" si="2">D11</f>
        <v>0.50307075000000012</v>
      </c>
      <c r="G11" s="614">
        <f t="shared" ref="G11:G57" si="3">C11-E11</f>
        <v>67.076100000000011</v>
      </c>
    </row>
    <row r="12" spans="1:7">
      <c r="A12" s="80"/>
      <c r="B12" s="80" t="s">
        <v>51</v>
      </c>
      <c r="C12" s="81">
        <f t="shared" ref="C12:C57" si="4">G11</f>
        <v>67.076100000000011</v>
      </c>
      <c r="D12" s="362">
        <f t="shared" si="0"/>
        <v>0.50307075000000012</v>
      </c>
      <c r="E12" s="81">
        <f t="shared" si="1"/>
        <v>0</v>
      </c>
      <c r="F12" s="614">
        <f t="shared" si="2"/>
        <v>0.50307075000000012</v>
      </c>
      <c r="G12" s="614">
        <f t="shared" si="3"/>
        <v>67.076100000000011</v>
      </c>
    </row>
    <row r="13" spans="1:7">
      <c r="A13" s="80"/>
      <c r="B13" s="80" t="s">
        <v>52</v>
      </c>
      <c r="C13" s="81">
        <f t="shared" si="4"/>
        <v>67.076100000000011</v>
      </c>
      <c r="D13" s="362">
        <f t="shared" si="0"/>
        <v>0.50307075000000012</v>
      </c>
      <c r="E13" s="81">
        <f t="shared" si="1"/>
        <v>0</v>
      </c>
      <c r="F13" s="614">
        <f t="shared" si="2"/>
        <v>0.50307075000000012</v>
      </c>
      <c r="G13" s="614">
        <f t="shared" si="3"/>
        <v>67.076100000000011</v>
      </c>
    </row>
    <row r="14" spans="1:7">
      <c r="A14" s="80"/>
      <c r="B14" s="80" t="s">
        <v>53</v>
      </c>
      <c r="C14" s="81">
        <f t="shared" si="4"/>
        <v>67.076100000000011</v>
      </c>
      <c r="D14" s="362">
        <f t="shared" si="0"/>
        <v>0.50307075000000012</v>
      </c>
      <c r="E14" s="81">
        <f t="shared" si="1"/>
        <v>0</v>
      </c>
      <c r="F14" s="614">
        <f t="shared" si="2"/>
        <v>0.50307075000000012</v>
      </c>
      <c r="G14" s="614">
        <f t="shared" si="3"/>
        <v>67.076100000000011</v>
      </c>
    </row>
    <row r="15" spans="1:7">
      <c r="A15" s="80"/>
      <c r="B15" s="80" t="s">
        <v>54</v>
      </c>
      <c r="C15" s="81">
        <f t="shared" si="4"/>
        <v>67.076100000000011</v>
      </c>
      <c r="D15" s="362">
        <f t="shared" si="0"/>
        <v>0.50307075000000012</v>
      </c>
      <c r="E15" s="81">
        <f t="shared" si="1"/>
        <v>0</v>
      </c>
      <c r="F15" s="614">
        <f t="shared" si="2"/>
        <v>0.50307075000000012</v>
      </c>
      <c r="G15" s="614">
        <f t="shared" si="3"/>
        <v>67.076100000000011</v>
      </c>
    </row>
    <row r="16" spans="1:7">
      <c r="A16" s="80"/>
      <c r="B16" s="80" t="s">
        <v>55</v>
      </c>
      <c r="C16" s="81">
        <f t="shared" si="4"/>
        <v>67.076100000000011</v>
      </c>
      <c r="D16" s="362">
        <f t="shared" si="0"/>
        <v>0.50307075000000012</v>
      </c>
      <c r="E16" s="614">
        <f>F16-D16</f>
        <v>1.3646308919448407</v>
      </c>
      <c r="F16" s="614">
        <f t="shared" ref="F16:F57" si="5">$D$8</f>
        <v>1.8677016419448407</v>
      </c>
      <c r="G16" s="614">
        <f t="shared" si="3"/>
        <v>65.711469108055169</v>
      </c>
    </row>
    <row r="17" spans="1:9">
      <c r="A17" s="80"/>
      <c r="B17" s="80" t="s">
        <v>56</v>
      </c>
      <c r="C17" s="81">
        <f t="shared" si="4"/>
        <v>65.711469108055169</v>
      </c>
      <c r="D17" s="362">
        <f t="shared" si="0"/>
        <v>0.49283601831041374</v>
      </c>
      <c r="E17" s="614">
        <f t="shared" ref="E17:E57" si="6">F17-D17</f>
        <v>1.374865623634427</v>
      </c>
      <c r="F17" s="614">
        <f t="shared" si="5"/>
        <v>1.8677016419448407</v>
      </c>
      <c r="G17" s="614">
        <f t="shared" si="3"/>
        <v>64.336603484420749</v>
      </c>
    </row>
    <row r="18" spans="1:9">
      <c r="A18" s="80"/>
      <c r="B18" s="80" t="s">
        <v>57</v>
      </c>
      <c r="C18" s="81">
        <f t="shared" si="4"/>
        <v>64.336603484420749</v>
      </c>
      <c r="D18" s="362">
        <f t="shared" si="0"/>
        <v>0.48252452613315561</v>
      </c>
      <c r="E18" s="614">
        <f t="shared" si="6"/>
        <v>1.385177115811685</v>
      </c>
      <c r="F18" s="614">
        <f t="shared" si="5"/>
        <v>1.8677016419448407</v>
      </c>
      <c r="G18" s="614">
        <f t="shared" si="3"/>
        <v>62.951426368609063</v>
      </c>
    </row>
    <row r="19" spans="1:9">
      <c r="A19" s="80"/>
      <c r="B19" s="80" t="s">
        <v>58</v>
      </c>
      <c r="C19" s="81">
        <f t="shared" si="4"/>
        <v>62.951426368609063</v>
      </c>
      <c r="D19" s="362">
        <f t="shared" si="0"/>
        <v>0.47213569776456793</v>
      </c>
      <c r="E19" s="614">
        <f t="shared" si="6"/>
        <v>1.3955659441802728</v>
      </c>
      <c r="F19" s="614">
        <f t="shared" si="5"/>
        <v>1.8677016419448407</v>
      </c>
      <c r="G19" s="614">
        <f t="shared" si="3"/>
        <v>61.555860424428793</v>
      </c>
    </row>
    <row r="20" spans="1:9">
      <c r="A20" s="80"/>
      <c r="B20" s="80" t="s">
        <v>59</v>
      </c>
      <c r="C20" s="81">
        <f t="shared" si="4"/>
        <v>61.555860424428793</v>
      </c>
      <c r="D20" s="362">
        <f t="shared" si="0"/>
        <v>0.46166895318321594</v>
      </c>
      <c r="E20" s="614">
        <f t="shared" si="6"/>
        <v>1.4060326887616248</v>
      </c>
      <c r="F20" s="614">
        <f t="shared" si="5"/>
        <v>1.8677016419448407</v>
      </c>
      <c r="G20" s="614">
        <f t="shared" si="3"/>
        <v>60.149827735667166</v>
      </c>
    </row>
    <row r="21" spans="1:9">
      <c r="A21" s="80"/>
      <c r="B21" s="80" t="s">
        <v>60</v>
      </c>
      <c r="C21" s="81">
        <f t="shared" si="4"/>
        <v>60.149827735667166</v>
      </c>
      <c r="D21" s="362">
        <f t="shared" si="0"/>
        <v>0.45112370801750373</v>
      </c>
      <c r="E21" s="614">
        <f t="shared" si="6"/>
        <v>1.416577933927337</v>
      </c>
      <c r="F21" s="614">
        <f t="shared" si="5"/>
        <v>1.8677016419448407</v>
      </c>
      <c r="G21" s="614">
        <f t="shared" si="3"/>
        <v>58.733249801739831</v>
      </c>
      <c r="H21" s="1"/>
      <c r="I21" s="1"/>
    </row>
    <row r="22" spans="1:9">
      <c r="A22" s="80" t="s">
        <v>11</v>
      </c>
      <c r="B22" s="80" t="s">
        <v>61</v>
      </c>
      <c r="C22" s="81">
        <f t="shared" si="4"/>
        <v>58.733249801739831</v>
      </c>
      <c r="D22" s="362">
        <f t="shared" si="0"/>
        <v>0.44049937351304869</v>
      </c>
      <c r="E22" s="614">
        <f t="shared" si="6"/>
        <v>1.427202268431792</v>
      </c>
      <c r="F22" s="614">
        <f t="shared" si="5"/>
        <v>1.8677016419448407</v>
      </c>
      <c r="G22" s="614">
        <f t="shared" si="3"/>
        <v>57.306047533308039</v>
      </c>
    </row>
    <row r="23" spans="1:9">
      <c r="A23" s="80"/>
      <c r="B23" s="80" t="s">
        <v>62</v>
      </c>
      <c r="C23" s="81">
        <f t="shared" si="4"/>
        <v>57.306047533308039</v>
      </c>
      <c r="D23" s="362">
        <f t="shared" si="0"/>
        <v>0.42979535649981027</v>
      </c>
      <c r="E23" s="614">
        <f t="shared" si="6"/>
        <v>1.4379062854450304</v>
      </c>
      <c r="F23" s="614">
        <f t="shared" si="5"/>
        <v>1.8677016419448407</v>
      </c>
      <c r="G23" s="614">
        <f t="shared" si="3"/>
        <v>55.868141247863008</v>
      </c>
    </row>
    <row r="24" spans="1:9">
      <c r="A24" s="80"/>
      <c r="B24" s="80" t="s">
        <v>63</v>
      </c>
      <c r="C24" s="81">
        <f t="shared" si="4"/>
        <v>55.868141247863008</v>
      </c>
      <c r="D24" s="362">
        <f t="shared" si="0"/>
        <v>0.41901105935897259</v>
      </c>
      <c r="E24" s="614">
        <f t="shared" si="6"/>
        <v>1.448690582585868</v>
      </c>
      <c r="F24" s="614">
        <f t="shared" si="5"/>
        <v>1.8677016419448407</v>
      </c>
      <c r="G24" s="614">
        <f t="shared" si="3"/>
        <v>54.419450665277139</v>
      </c>
    </row>
    <row r="25" spans="1:9">
      <c r="A25" s="80"/>
      <c r="B25" s="80" t="s">
        <v>64</v>
      </c>
      <c r="C25" s="81">
        <f t="shared" si="4"/>
        <v>54.419450665277139</v>
      </c>
      <c r="D25" s="362">
        <f t="shared" si="0"/>
        <v>0.40814587998957852</v>
      </c>
      <c r="E25" s="614">
        <f t="shared" si="6"/>
        <v>1.4595557619552622</v>
      </c>
      <c r="F25" s="614">
        <f t="shared" si="5"/>
        <v>1.8677016419448407</v>
      </c>
      <c r="G25" s="614">
        <f t="shared" si="3"/>
        <v>52.959894903321874</v>
      </c>
    </row>
    <row r="26" spans="1:9">
      <c r="A26" s="80"/>
      <c r="B26" s="80" t="s">
        <v>65</v>
      </c>
      <c r="C26" s="81">
        <f t="shared" si="4"/>
        <v>52.959894903321874</v>
      </c>
      <c r="D26" s="362">
        <f t="shared" si="0"/>
        <v>0.39719921177491407</v>
      </c>
      <c r="E26" s="614">
        <f t="shared" si="6"/>
        <v>1.4705024301699265</v>
      </c>
      <c r="F26" s="614">
        <f t="shared" si="5"/>
        <v>1.8677016419448407</v>
      </c>
      <c r="G26" s="614">
        <f t="shared" si="3"/>
        <v>51.489392473151945</v>
      </c>
    </row>
    <row r="27" spans="1:9">
      <c r="A27" s="80"/>
      <c r="B27" s="80" t="s">
        <v>66</v>
      </c>
      <c r="C27" s="81">
        <f t="shared" si="4"/>
        <v>51.489392473151945</v>
      </c>
      <c r="D27" s="362">
        <f t="shared" si="0"/>
        <v>0.38617044354863955</v>
      </c>
      <c r="E27" s="614">
        <f t="shared" si="6"/>
        <v>1.4815311983962012</v>
      </c>
      <c r="F27" s="614">
        <f t="shared" si="5"/>
        <v>1.8677016419448407</v>
      </c>
      <c r="G27" s="614">
        <f t="shared" si="3"/>
        <v>50.00786127475574</v>
      </c>
    </row>
    <row r="28" spans="1:9">
      <c r="A28" s="80"/>
      <c r="B28" s="80" t="s">
        <v>67</v>
      </c>
      <c r="C28" s="81">
        <f t="shared" si="4"/>
        <v>50.00786127475574</v>
      </c>
      <c r="D28" s="362">
        <f t="shared" si="0"/>
        <v>0.37505895956066798</v>
      </c>
      <c r="E28" s="614">
        <f t="shared" si="6"/>
        <v>1.4926426823841727</v>
      </c>
      <c r="F28" s="614">
        <f t="shared" si="5"/>
        <v>1.8677016419448407</v>
      </c>
      <c r="G28" s="614">
        <f t="shared" si="3"/>
        <v>48.515218592371568</v>
      </c>
    </row>
    <row r="29" spans="1:9">
      <c r="A29" s="80"/>
      <c r="B29" s="80" t="s">
        <v>68</v>
      </c>
      <c r="C29" s="81">
        <f t="shared" si="4"/>
        <v>48.515218592371568</v>
      </c>
      <c r="D29" s="362">
        <f t="shared" si="0"/>
        <v>0.36386413944278678</v>
      </c>
      <c r="E29" s="614">
        <f t="shared" si="6"/>
        <v>1.5038375025020538</v>
      </c>
      <c r="F29" s="614">
        <f t="shared" si="5"/>
        <v>1.8677016419448407</v>
      </c>
      <c r="G29" s="614">
        <f t="shared" si="3"/>
        <v>47.011381089869516</v>
      </c>
    </row>
    <row r="30" spans="1:9">
      <c r="A30" s="80"/>
      <c r="B30" s="80" t="s">
        <v>69</v>
      </c>
      <c r="C30" s="81">
        <f t="shared" si="4"/>
        <v>47.011381089869516</v>
      </c>
      <c r="D30" s="362">
        <f t="shared" si="0"/>
        <v>0.35258535817402131</v>
      </c>
      <c r="E30" s="614">
        <f t="shared" si="6"/>
        <v>1.5151162837708194</v>
      </c>
      <c r="F30" s="614">
        <f t="shared" si="5"/>
        <v>1.8677016419448407</v>
      </c>
      <c r="G30" s="614">
        <f t="shared" si="3"/>
        <v>45.496264806098694</v>
      </c>
    </row>
    <row r="31" spans="1:9">
      <c r="A31" s="80"/>
      <c r="B31" s="80" t="s">
        <v>70</v>
      </c>
      <c r="C31" s="81">
        <f t="shared" si="4"/>
        <v>45.496264806098694</v>
      </c>
      <c r="D31" s="362">
        <f t="shared" si="0"/>
        <v>0.34122198604574017</v>
      </c>
      <c r="E31" s="614">
        <f t="shared" si="6"/>
        <v>1.5264796558991005</v>
      </c>
      <c r="F31" s="614">
        <f t="shared" si="5"/>
        <v>1.8677016419448407</v>
      </c>
      <c r="G31" s="614">
        <f t="shared" si="3"/>
        <v>43.969785150199591</v>
      </c>
    </row>
    <row r="32" spans="1:9">
      <c r="A32" s="80"/>
      <c r="B32" s="80" t="s">
        <v>71</v>
      </c>
      <c r="C32" s="81">
        <f t="shared" si="4"/>
        <v>43.969785150199591</v>
      </c>
      <c r="D32" s="362">
        <f t="shared" si="0"/>
        <v>0.32977338862649691</v>
      </c>
      <c r="E32" s="614">
        <f t="shared" si="6"/>
        <v>1.5379282533183438</v>
      </c>
      <c r="F32" s="614">
        <f t="shared" si="5"/>
        <v>1.8677016419448407</v>
      </c>
      <c r="G32" s="614">
        <f t="shared" si="3"/>
        <v>42.43185689688125</v>
      </c>
    </row>
    <row r="33" spans="1:9">
      <c r="A33" s="80"/>
      <c r="B33" s="80" t="s">
        <v>72</v>
      </c>
      <c r="C33" s="81">
        <f t="shared" si="4"/>
        <v>42.43185689688125</v>
      </c>
      <c r="D33" s="362">
        <f t="shared" si="0"/>
        <v>0.31823892672660936</v>
      </c>
      <c r="E33" s="614">
        <f t="shared" si="6"/>
        <v>1.5494627152182314</v>
      </c>
      <c r="F33" s="614">
        <f t="shared" si="5"/>
        <v>1.8677016419448407</v>
      </c>
      <c r="G33" s="614">
        <f t="shared" si="3"/>
        <v>40.882394181663017</v>
      </c>
      <c r="H33" s="1"/>
      <c r="I33" s="1"/>
    </row>
    <row r="34" spans="1:9">
      <c r="A34" s="80" t="s">
        <v>12</v>
      </c>
      <c r="B34" s="80" t="s">
        <v>73</v>
      </c>
      <c r="C34" s="81">
        <f t="shared" si="4"/>
        <v>40.882394181663017</v>
      </c>
      <c r="D34" s="362">
        <f t="shared" si="0"/>
        <v>0.30661795636247263</v>
      </c>
      <c r="E34" s="614">
        <f t="shared" si="6"/>
        <v>1.561083685582368</v>
      </c>
      <c r="F34" s="614">
        <f t="shared" si="5"/>
        <v>1.8677016419448407</v>
      </c>
      <c r="G34" s="614">
        <f t="shared" si="3"/>
        <v>39.321310496080649</v>
      </c>
    </row>
    <row r="35" spans="1:9">
      <c r="A35" s="80"/>
      <c r="B35" s="80" t="s">
        <v>74</v>
      </c>
      <c r="C35" s="81">
        <f t="shared" si="4"/>
        <v>39.321310496080649</v>
      </c>
      <c r="D35" s="362">
        <f t="shared" si="0"/>
        <v>0.29490982872060484</v>
      </c>
      <c r="E35" s="614">
        <f t="shared" si="6"/>
        <v>1.5727918132242358</v>
      </c>
      <c r="F35" s="614">
        <f t="shared" si="5"/>
        <v>1.8677016419448407</v>
      </c>
      <c r="G35" s="614">
        <f t="shared" si="3"/>
        <v>37.748518682856414</v>
      </c>
    </row>
    <row r="36" spans="1:9">
      <c r="A36" s="80"/>
      <c r="B36" s="80" t="s">
        <v>75</v>
      </c>
      <c r="C36" s="81">
        <f t="shared" si="4"/>
        <v>37.748518682856414</v>
      </c>
      <c r="D36" s="362">
        <f t="shared" si="0"/>
        <v>0.28311389012142313</v>
      </c>
      <c r="E36" s="614">
        <f t="shared" si="6"/>
        <v>1.5845877518234175</v>
      </c>
      <c r="F36" s="614">
        <f t="shared" si="5"/>
        <v>1.8677016419448407</v>
      </c>
      <c r="G36" s="614">
        <f t="shared" si="3"/>
        <v>36.163930931032993</v>
      </c>
    </row>
    <row r="37" spans="1:9">
      <c r="A37" s="80"/>
      <c r="B37" s="80" t="s">
        <v>76</v>
      </c>
      <c r="C37" s="81">
        <f t="shared" si="4"/>
        <v>36.163930931032993</v>
      </c>
      <c r="D37" s="362">
        <f t="shared" si="0"/>
        <v>0.27122948198274743</v>
      </c>
      <c r="E37" s="614">
        <f t="shared" si="6"/>
        <v>1.5964721599620932</v>
      </c>
      <c r="F37" s="614">
        <f t="shared" si="5"/>
        <v>1.8677016419448407</v>
      </c>
      <c r="G37" s="614">
        <f t="shared" si="3"/>
        <v>34.567458771070903</v>
      </c>
    </row>
    <row r="38" spans="1:9">
      <c r="A38" s="80"/>
      <c r="B38" s="80" t="s">
        <v>77</v>
      </c>
      <c r="C38" s="81">
        <f t="shared" si="4"/>
        <v>34.567458771070903</v>
      </c>
      <c r="D38" s="362">
        <f t="shared" si="0"/>
        <v>0.25925594078303177</v>
      </c>
      <c r="E38" s="614">
        <f t="shared" si="6"/>
        <v>1.608445701161809</v>
      </c>
      <c r="F38" s="614">
        <f t="shared" si="5"/>
        <v>1.8677016419448407</v>
      </c>
      <c r="G38" s="614">
        <f t="shared" si="3"/>
        <v>32.959013069909098</v>
      </c>
    </row>
    <row r="39" spans="1:9">
      <c r="A39" s="80"/>
      <c r="B39" s="80" t="s">
        <v>78</v>
      </c>
      <c r="C39" s="81">
        <f t="shared" si="4"/>
        <v>32.959013069909098</v>
      </c>
      <c r="D39" s="362">
        <f t="shared" si="0"/>
        <v>0.24719259802431823</v>
      </c>
      <c r="E39" s="614">
        <f t="shared" si="6"/>
        <v>1.6205090439205225</v>
      </c>
      <c r="F39" s="614">
        <f t="shared" si="5"/>
        <v>1.8677016419448407</v>
      </c>
      <c r="G39" s="614">
        <f t="shared" si="3"/>
        <v>31.338504025988577</v>
      </c>
    </row>
    <row r="40" spans="1:9">
      <c r="A40" s="80"/>
      <c r="B40" s="80" t="s">
        <v>79</v>
      </c>
      <c r="C40" s="81">
        <f t="shared" si="4"/>
        <v>31.338504025988577</v>
      </c>
      <c r="D40" s="362">
        <f t="shared" si="0"/>
        <v>0.23503878019491431</v>
      </c>
      <c r="E40" s="614">
        <f t="shared" si="6"/>
        <v>1.6326628617499264</v>
      </c>
      <c r="F40" s="614">
        <f t="shared" si="5"/>
        <v>1.8677016419448407</v>
      </c>
      <c r="G40" s="614">
        <f t="shared" si="3"/>
        <v>29.705841164238649</v>
      </c>
    </row>
    <row r="41" spans="1:9">
      <c r="A41" s="80"/>
      <c r="B41" s="80" t="s">
        <v>80</v>
      </c>
      <c r="C41" s="81">
        <f t="shared" si="4"/>
        <v>29.705841164238649</v>
      </c>
      <c r="D41" s="362">
        <f t="shared" si="0"/>
        <v>0.22279380873178986</v>
      </c>
      <c r="E41" s="614">
        <f t="shared" si="6"/>
        <v>1.6449078332130509</v>
      </c>
      <c r="F41" s="614">
        <f t="shared" si="5"/>
        <v>1.8677016419448407</v>
      </c>
      <c r="G41" s="614">
        <f t="shared" si="3"/>
        <v>28.060933331025598</v>
      </c>
    </row>
    <row r="42" spans="1:9">
      <c r="A42" s="80"/>
      <c r="B42" s="80" t="s">
        <v>81</v>
      </c>
      <c r="C42" s="81">
        <f t="shared" si="4"/>
        <v>28.060933331025598</v>
      </c>
      <c r="D42" s="362">
        <f t="shared" ref="D42:D57" si="7">C42*$D$5/12</f>
        <v>0.21045699998269199</v>
      </c>
      <c r="E42" s="614">
        <f t="shared" si="6"/>
        <v>1.6572446419621487</v>
      </c>
      <c r="F42" s="614">
        <f t="shared" si="5"/>
        <v>1.8677016419448407</v>
      </c>
      <c r="G42" s="614">
        <f t="shared" si="3"/>
        <v>26.403688689063451</v>
      </c>
    </row>
    <row r="43" spans="1:9">
      <c r="A43" s="80"/>
      <c r="B43" s="80" t="s">
        <v>82</v>
      </c>
      <c r="C43" s="81">
        <f t="shared" si="4"/>
        <v>26.403688689063451</v>
      </c>
      <c r="D43" s="362">
        <f t="shared" si="7"/>
        <v>0.19802766516797587</v>
      </c>
      <c r="E43" s="614">
        <f t="shared" si="6"/>
        <v>1.6696739767768647</v>
      </c>
      <c r="F43" s="614">
        <f t="shared" si="5"/>
        <v>1.8677016419448407</v>
      </c>
      <c r="G43" s="614">
        <f t="shared" si="3"/>
        <v>24.734014712286587</v>
      </c>
    </row>
    <row r="44" spans="1:9">
      <c r="A44" s="80"/>
      <c r="B44" s="80" t="s">
        <v>83</v>
      </c>
      <c r="C44" s="81">
        <f t="shared" si="4"/>
        <v>24.734014712286587</v>
      </c>
      <c r="D44" s="362">
        <f t="shared" si="7"/>
        <v>0.18550511034214942</v>
      </c>
      <c r="E44" s="614">
        <f t="shared" si="6"/>
        <v>1.6821965316026912</v>
      </c>
      <c r="F44" s="614">
        <f t="shared" si="5"/>
        <v>1.8677016419448407</v>
      </c>
      <c r="G44" s="614">
        <f t="shared" si="3"/>
        <v>23.051818180683895</v>
      </c>
    </row>
    <row r="45" spans="1:9">
      <c r="A45" s="80"/>
      <c r="B45" s="80" t="s">
        <v>84</v>
      </c>
      <c r="C45" s="81">
        <f t="shared" si="4"/>
        <v>23.051818180683895</v>
      </c>
      <c r="D45" s="362">
        <f t="shared" si="7"/>
        <v>0.17288863635512922</v>
      </c>
      <c r="E45" s="614">
        <f t="shared" si="6"/>
        <v>1.6948130055897115</v>
      </c>
      <c r="F45" s="614">
        <f t="shared" si="5"/>
        <v>1.8677016419448407</v>
      </c>
      <c r="G45" s="614">
        <f t="shared" si="3"/>
        <v>21.357005175094184</v>
      </c>
      <c r="H45" s="1"/>
      <c r="I45" s="1"/>
    </row>
    <row r="46" spans="1:9">
      <c r="A46" s="80" t="s">
        <v>13</v>
      </c>
      <c r="B46" s="80" t="s">
        <v>85</v>
      </c>
      <c r="C46" s="81">
        <f t="shared" si="4"/>
        <v>21.357005175094184</v>
      </c>
      <c r="D46" s="362">
        <f t="shared" si="7"/>
        <v>0.16017753881320637</v>
      </c>
      <c r="E46" s="614">
        <f t="shared" si="6"/>
        <v>1.7075241031316344</v>
      </c>
      <c r="F46" s="614">
        <f t="shared" si="5"/>
        <v>1.8677016419448407</v>
      </c>
      <c r="G46" s="614">
        <f t="shared" si="3"/>
        <v>19.649481071962548</v>
      </c>
    </row>
    <row r="47" spans="1:9">
      <c r="A47" s="80"/>
      <c r="B47" s="80" t="s">
        <v>86</v>
      </c>
      <c r="C47" s="81">
        <f t="shared" si="4"/>
        <v>19.649481071962548</v>
      </c>
      <c r="D47" s="362">
        <f t="shared" si="7"/>
        <v>0.14737110803971912</v>
      </c>
      <c r="E47" s="614">
        <f t="shared" si="6"/>
        <v>1.7203305339051216</v>
      </c>
      <c r="F47" s="614">
        <f t="shared" si="5"/>
        <v>1.8677016419448407</v>
      </c>
      <c r="G47" s="614">
        <f t="shared" si="3"/>
        <v>17.929150538057428</v>
      </c>
    </row>
    <row r="48" spans="1:9">
      <c r="A48" s="80"/>
      <c r="B48" s="80" t="s">
        <v>87</v>
      </c>
      <c r="C48" s="81">
        <f t="shared" si="4"/>
        <v>17.929150538057428</v>
      </c>
      <c r="D48" s="362">
        <f t="shared" si="7"/>
        <v>0.13446862903543069</v>
      </c>
      <c r="E48" s="614">
        <f t="shared" si="6"/>
        <v>1.73323301290941</v>
      </c>
      <c r="F48" s="614">
        <f t="shared" si="5"/>
        <v>1.8677016419448407</v>
      </c>
      <c r="G48" s="614">
        <f t="shared" si="3"/>
        <v>16.195917525148019</v>
      </c>
    </row>
    <row r="49" spans="1:9">
      <c r="A49" s="80"/>
      <c r="B49" s="80" t="s">
        <v>88</v>
      </c>
      <c r="C49" s="81">
        <f t="shared" si="4"/>
        <v>16.195917525148019</v>
      </c>
      <c r="D49" s="362">
        <f t="shared" si="7"/>
        <v>0.12146938143861014</v>
      </c>
      <c r="E49" s="614">
        <f t="shared" si="6"/>
        <v>1.7462322605062306</v>
      </c>
      <c r="F49" s="614">
        <f t="shared" si="5"/>
        <v>1.8677016419448407</v>
      </c>
      <c r="G49" s="614">
        <f t="shared" si="3"/>
        <v>14.449685264641788</v>
      </c>
    </row>
    <row r="50" spans="1:9">
      <c r="A50" s="80"/>
      <c r="B50" s="80" t="s">
        <v>89</v>
      </c>
      <c r="C50" s="81">
        <f t="shared" si="4"/>
        <v>14.449685264641788</v>
      </c>
      <c r="D50" s="362">
        <f t="shared" si="7"/>
        <v>0.1083726394848134</v>
      </c>
      <c r="E50" s="614">
        <f t="shared" si="6"/>
        <v>1.7593290024600272</v>
      </c>
      <c r="F50" s="614">
        <f t="shared" si="5"/>
        <v>1.8677016419448407</v>
      </c>
      <c r="G50" s="614">
        <f t="shared" si="3"/>
        <v>12.69035626218176</v>
      </c>
    </row>
    <row r="51" spans="1:9">
      <c r="A51" s="80"/>
      <c r="B51" s="80" t="s">
        <v>90</v>
      </c>
      <c r="C51" s="81">
        <f t="shared" si="4"/>
        <v>12.69035626218176</v>
      </c>
      <c r="D51" s="362">
        <f t="shared" si="7"/>
        <v>9.5177671966363189E-2</v>
      </c>
      <c r="E51" s="614">
        <f t="shared" si="6"/>
        <v>1.7725239699784774</v>
      </c>
      <c r="F51" s="614">
        <f t="shared" si="5"/>
        <v>1.8677016419448407</v>
      </c>
      <c r="G51" s="614">
        <f t="shared" si="3"/>
        <v>10.917832292203283</v>
      </c>
    </row>
    <row r="52" spans="1:9">
      <c r="A52" s="80"/>
      <c r="B52" s="80" t="s">
        <v>91</v>
      </c>
      <c r="C52" s="81">
        <f t="shared" si="4"/>
        <v>10.917832292203283</v>
      </c>
      <c r="D52" s="362">
        <f t="shared" si="7"/>
        <v>8.1883742191524625E-2</v>
      </c>
      <c r="E52" s="614">
        <f t="shared" si="6"/>
        <v>1.7858178997533161</v>
      </c>
      <c r="F52" s="614">
        <f t="shared" si="5"/>
        <v>1.8677016419448407</v>
      </c>
      <c r="G52" s="614">
        <f t="shared" si="3"/>
        <v>9.1320143924499675</v>
      </c>
    </row>
    <row r="53" spans="1:9">
      <c r="A53" s="80"/>
      <c r="B53" s="80" t="s">
        <v>92</v>
      </c>
      <c r="C53" s="81">
        <f t="shared" si="4"/>
        <v>9.1320143924499675</v>
      </c>
      <c r="D53" s="362">
        <f t="shared" si="7"/>
        <v>6.8490107943374748E-2</v>
      </c>
      <c r="E53" s="614">
        <f t="shared" si="6"/>
        <v>1.7992115340014658</v>
      </c>
      <c r="F53" s="614">
        <f t="shared" si="5"/>
        <v>1.8677016419448407</v>
      </c>
      <c r="G53" s="614">
        <f t="shared" si="3"/>
        <v>7.3328028584485017</v>
      </c>
    </row>
    <row r="54" spans="1:9">
      <c r="A54" s="80"/>
      <c r="B54" s="80" t="s">
        <v>93</v>
      </c>
      <c r="C54" s="81">
        <f t="shared" si="4"/>
        <v>7.3328028584485017</v>
      </c>
      <c r="D54" s="362">
        <f t="shared" si="7"/>
        <v>5.4996021438363761E-2</v>
      </c>
      <c r="E54" s="614">
        <f t="shared" si="6"/>
        <v>1.8127056205064769</v>
      </c>
      <c r="F54" s="614">
        <f t="shared" si="5"/>
        <v>1.8677016419448407</v>
      </c>
      <c r="G54" s="614">
        <f t="shared" si="3"/>
        <v>5.520097237942025</v>
      </c>
    </row>
    <row r="55" spans="1:9">
      <c r="A55" s="80"/>
      <c r="B55" s="80" t="s">
        <v>94</v>
      </c>
      <c r="C55" s="81">
        <f t="shared" si="4"/>
        <v>5.520097237942025</v>
      </c>
      <c r="D55" s="362">
        <f t="shared" si="7"/>
        <v>4.1400729284565188E-2</v>
      </c>
      <c r="E55" s="614">
        <f t="shared" si="6"/>
        <v>1.8263009126602754</v>
      </c>
      <c r="F55" s="614">
        <f t="shared" si="5"/>
        <v>1.8677016419448407</v>
      </c>
      <c r="G55" s="614">
        <f t="shared" si="3"/>
        <v>3.6937963252817498</v>
      </c>
    </row>
    <row r="56" spans="1:9">
      <c r="A56" s="80"/>
      <c r="B56" s="80" t="s">
        <v>95</v>
      </c>
      <c r="C56" s="81">
        <f t="shared" si="4"/>
        <v>3.6937963252817498</v>
      </c>
      <c r="D56" s="362">
        <f t="shared" si="7"/>
        <v>2.770347243961312E-2</v>
      </c>
      <c r="E56" s="614">
        <f t="shared" si="6"/>
        <v>1.8399981695052277</v>
      </c>
      <c r="F56" s="614">
        <f t="shared" si="5"/>
        <v>1.8677016419448407</v>
      </c>
      <c r="G56" s="614">
        <f t="shared" si="3"/>
        <v>1.8537981557765222</v>
      </c>
    </row>
    <row r="57" spans="1:9">
      <c r="A57" s="80"/>
      <c r="B57" s="80" t="s">
        <v>96</v>
      </c>
      <c r="C57" s="81">
        <f t="shared" si="4"/>
        <v>1.8537981557765222</v>
      </c>
      <c r="D57" s="362">
        <f t="shared" si="7"/>
        <v>1.3903486168323917E-2</v>
      </c>
      <c r="E57" s="614">
        <f t="shared" si="6"/>
        <v>1.8537981557765169</v>
      </c>
      <c r="F57" s="614">
        <f t="shared" si="5"/>
        <v>1.8677016419448407</v>
      </c>
      <c r="G57" s="614">
        <f t="shared" si="3"/>
        <v>5.3290705182007514E-15</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271</v>
      </c>
      <c r="B82" s="80" t="s">
        <v>207</v>
      </c>
      <c r="C82" s="81">
        <v>1.9984014443252818E-15</v>
      </c>
      <c r="D82" s="81">
        <v>1.9984014443252818E-15</v>
      </c>
      <c r="E82" s="81">
        <v>1.9984014443252818E-15</v>
      </c>
      <c r="F82" s="81">
        <v>1.9984014443252818E-15</v>
      </c>
      <c r="G82" s="81">
        <v>1.9984014443252818E-15</v>
      </c>
    </row>
    <row r="83" spans="1:9">
      <c r="A83" s="80"/>
      <c r="B83" s="80" t="s">
        <v>208</v>
      </c>
      <c r="C83" s="81">
        <v>1.9984014443252818E-15</v>
      </c>
      <c r="D83" s="81">
        <v>1.9984014443252818E-15</v>
      </c>
      <c r="E83" s="81">
        <v>1.9984014443252818E-15</v>
      </c>
      <c r="F83" s="81">
        <v>1.9984014443252818E-15</v>
      </c>
      <c r="G83" s="81">
        <v>1.9984014443252818E-15</v>
      </c>
    </row>
    <row r="84" spans="1:9">
      <c r="A84" s="80"/>
      <c r="B84" s="80" t="s">
        <v>209</v>
      </c>
      <c r="C84" s="81">
        <v>1.9984014443252818E-15</v>
      </c>
      <c r="D84" s="81">
        <v>1.9984014443252818E-15</v>
      </c>
      <c r="E84" s="81">
        <v>1.9984014443252818E-15</v>
      </c>
      <c r="F84" s="81">
        <v>1.9984014443252818E-15</v>
      </c>
      <c r="G84" s="81">
        <v>1.9984014443252818E-15</v>
      </c>
    </row>
    <row r="85" spans="1:9">
      <c r="A85" s="80"/>
      <c r="B85" s="80" t="s">
        <v>210</v>
      </c>
      <c r="C85" s="81">
        <v>1.9984014443252818E-15</v>
      </c>
      <c r="D85" s="81">
        <v>1.9984014443252818E-15</v>
      </c>
      <c r="E85" s="81">
        <v>1.9984014443252818E-15</v>
      </c>
      <c r="F85" s="81">
        <v>1.9984014443252818E-15</v>
      </c>
      <c r="G85" s="81">
        <v>1.9984014443252818E-15</v>
      </c>
    </row>
    <row r="86" spans="1:9">
      <c r="A86" s="80"/>
      <c r="B86" s="80" t="s">
        <v>211</v>
      </c>
      <c r="C86" s="81">
        <v>1.9984014443252818E-15</v>
      </c>
      <c r="D86" s="81">
        <v>1.9984014443252818E-15</v>
      </c>
      <c r="E86" s="81">
        <v>1.9984014443252818E-15</v>
      </c>
      <c r="F86" s="81">
        <v>1.9984014443252818E-15</v>
      </c>
      <c r="G86" s="81">
        <v>1.9984014443252818E-15</v>
      </c>
    </row>
    <row r="87" spans="1:9">
      <c r="A87" s="80"/>
      <c r="B87" s="80" t="s">
        <v>212</v>
      </c>
      <c r="C87" s="81">
        <v>1.9984014443252818E-15</v>
      </c>
      <c r="D87" s="81">
        <v>1.9984014443252818E-15</v>
      </c>
      <c r="E87" s="81">
        <v>1.9984014443252818E-15</v>
      </c>
      <c r="F87" s="81">
        <v>1.9984014443252818E-15</v>
      </c>
      <c r="G87" s="81">
        <v>1.9984014443252818E-15</v>
      </c>
    </row>
    <row r="88" spans="1:9">
      <c r="A88" s="80"/>
      <c r="B88" s="80" t="s">
        <v>213</v>
      </c>
      <c r="C88" s="81">
        <v>1.9984014443252818E-15</v>
      </c>
      <c r="D88" s="81">
        <v>1.9984014443252818E-15</v>
      </c>
      <c r="E88" s="81">
        <v>1.9984014443252818E-15</v>
      </c>
      <c r="F88" s="81">
        <v>1.9984014443252818E-15</v>
      </c>
      <c r="G88" s="81">
        <v>1.9984014443252818E-15</v>
      </c>
    </row>
    <row r="89" spans="1:9">
      <c r="A89" s="80"/>
      <c r="B89" s="80" t="s">
        <v>214</v>
      </c>
      <c r="C89" s="81">
        <v>1.9984014443252818E-15</v>
      </c>
      <c r="D89" s="81">
        <v>1.9984014443252818E-15</v>
      </c>
      <c r="E89" s="81">
        <v>1.9984014443252818E-15</v>
      </c>
      <c r="F89" s="81">
        <v>1.9984014443252818E-15</v>
      </c>
      <c r="G89" s="81">
        <v>1.9984014443252818E-15</v>
      </c>
    </row>
    <row r="90" spans="1:9">
      <c r="A90" s="80"/>
      <c r="B90" s="80" t="s">
        <v>215</v>
      </c>
      <c r="C90" s="81">
        <v>1.9984014443252818E-15</v>
      </c>
      <c r="D90" s="81">
        <v>1.9984014443252818E-15</v>
      </c>
      <c r="E90" s="81">
        <v>1.9984014443252818E-15</v>
      </c>
      <c r="F90" s="81">
        <v>1.9984014443252818E-15</v>
      </c>
      <c r="G90" s="81">
        <v>1.9984014443252818E-15</v>
      </c>
    </row>
    <row r="91" spans="1:9">
      <c r="A91" s="80"/>
      <c r="B91" s="80" t="s">
        <v>216</v>
      </c>
      <c r="C91" s="81">
        <v>1.9984014443252818E-15</v>
      </c>
      <c r="D91" s="81">
        <v>1.9984014443252818E-15</v>
      </c>
      <c r="E91" s="81">
        <v>1.9984014443252818E-15</v>
      </c>
      <c r="F91" s="81">
        <v>1.9984014443252818E-15</v>
      </c>
      <c r="G91" s="81">
        <v>1.9984014443252818E-15</v>
      </c>
    </row>
    <row r="92" spans="1:9">
      <c r="A92" s="80"/>
      <c r="B92" s="80" t="s">
        <v>217</v>
      </c>
      <c r="C92" s="81">
        <v>1.9984014443252818E-15</v>
      </c>
      <c r="D92" s="81">
        <v>1.9984014443252818E-15</v>
      </c>
      <c r="E92" s="81">
        <v>1.9984014443252818E-15</v>
      </c>
      <c r="F92" s="81">
        <v>1.9984014443252818E-15</v>
      </c>
      <c r="G92" s="81">
        <v>1.9984014443252818E-15</v>
      </c>
    </row>
    <row r="93" spans="1:9">
      <c r="A93" s="80"/>
      <c r="B93" s="80" t="s">
        <v>218</v>
      </c>
      <c r="C93" s="81">
        <v>1.9984014443252818E-15</v>
      </c>
      <c r="D93" s="81">
        <v>1.9984014443252818E-15</v>
      </c>
      <c r="E93" s="81">
        <v>1.9984014443252818E-15</v>
      </c>
      <c r="F93" s="81">
        <v>1.9984014443252818E-15</v>
      </c>
      <c r="G93" s="81">
        <v>1.9984014443252818E-15</v>
      </c>
    </row>
    <row r="94" spans="1:9">
      <c r="A94" s="79"/>
      <c r="B94" s="79"/>
      <c r="C94" s="79"/>
      <c r="D94" s="88">
        <f>SUM(D10:D93)</f>
        <v>14.385793461683365</v>
      </c>
      <c r="E94" s="88">
        <f>SUM(E10:E93)</f>
        <v>67.076099999999997</v>
      </c>
      <c r="F94" s="618"/>
      <c r="G94" s="79"/>
    </row>
    <row r="95" spans="1:9" ht="39.950000000000003" customHeight="1">
      <c r="A95" s="715" t="s">
        <v>406</v>
      </c>
      <c r="B95" s="715"/>
      <c r="C95" s="715"/>
      <c r="D95" s="715"/>
      <c r="E95" s="715"/>
      <c r="F95" s="715"/>
      <c r="G95" s="715"/>
      <c r="H95" s="715"/>
    </row>
    <row r="96" spans="1:9">
      <c r="A96" t="s">
        <v>506</v>
      </c>
    </row>
    <row r="97" spans="1:2">
      <c r="A97">
        <v>1</v>
      </c>
      <c r="B97" t="s">
        <v>507</v>
      </c>
    </row>
    <row r="98" spans="1:2">
      <c r="A98">
        <v>2</v>
      </c>
      <c r="B98" t="s">
        <v>508</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2"/>
  <sheetViews>
    <sheetView view="pageBreakPreview" topLeftCell="A36"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 min="32" max="32" width="12.140625" bestFit="1" customWidth="1"/>
  </cols>
  <sheetData>
    <row r="2" spans="3:22" ht="18.75">
      <c r="C2" s="703" t="s">
        <v>818</v>
      </c>
      <c r="D2" s="703"/>
      <c r="E2" s="703"/>
      <c r="F2" s="703"/>
      <c r="G2" s="703"/>
      <c r="H2" s="703"/>
      <c r="I2" s="703"/>
      <c r="J2" s="703"/>
      <c r="K2" s="703"/>
      <c r="L2" s="172"/>
    </row>
    <row r="4" spans="3:22">
      <c r="C4" s="69" t="s">
        <v>0</v>
      </c>
      <c r="D4" s="69" t="s">
        <v>817</v>
      </c>
      <c r="E4" s="70" t="s">
        <v>2</v>
      </c>
      <c r="F4" s="70" t="s">
        <v>3</v>
      </c>
      <c r="G4" s="70" t="s">
        <v>4</v>
      </c>
      <c r="H4" s="70" t="s">
        <v>5</v>
      </c>
      <c r="I4" s="70" t="s">
        <v>6</v>
      </c>
      <c r="J4" s="70" t="s">
        <v>164</v>
      </c>
      <c r="K4" s="70" t="s">
        <v>163</v>
      </c>
      <c r="L4" s="79"/>
      <c r="M4" s="79"/>
      <c r="N4" s="209"/>
      <c r="O4" s="209"/>
      <c r="P4" s="209"/>
      <c r="Q4" s="209"/>
      <c r="R4" s="209"/>
      <c r="S4" s="209"/>
      <c r="T4" s="209"/>
      <c r="U4" s="209"/>
      <c r="V4" s="209"/>
    </row>
    <row r="5" spans="3:22">
      <c r="C5" s="80" t="s">
        <v>355</v>
      </c>
      <c r="D5" s="80"/>
      <c r="E5" s="80"/>
      <c r="F5" s="80"/>
      <c r="G5" s="80"/>
      <c r="H5" s="80"/>
      <c r="I5" s="80"/>
      <c r="J5" s="80"/>
      <c r="K5" s="80"/>
      <c r="L5" s="79"/>
      <c r="M5" s="79"/>
      <c r="N5" s="718" t="s">
        <v>502</v>
      </c>
      <c r="O5" s="718"/>
      <c r="P5" s="718"/>
      <c r="Q5" s="718"/>
      <c r="R5" s="718"/>
      <c r="S5" s="209"/>
      <c r="T5" s="209"/>
      <c r="U5" s="718" t="s">
        <v>503</v>
      </c>
      <c r="V5" s="718"/>
    </row>
    <row r="6" spans="3:22">
      <c r="C6" s="80" t="s">
        <v>356</v>
      </c>
      <c r="D6" s="152"/>
      <c r="E6" s="80"/>
      <c r="F6" s="81">
        <v>0</v>
      </c>
      <c r="G6" s="81">
        <v>0</v>
      </c>
      <c r="H6" s="81">
        <v>0</v>
      </c>
      <c r="I6" s="81">
        <v>0</v>
      </c>
      <c r="J6" s="81">
        <v>0</v>
      </c>
      <c r="K6" s="81">
        <v>0</v>
      </c>
      <c r="L6" s="79"/>
      <c r="M6" s="79"/>
      <c r="N6" s="717" t="s">
        <v>504</v>
      </c>
      <c r="O6" s="717"/>
      <c r="P6" s="717"/>
      <c r="Q6" s="717"/>
      <c r="R6" s="717"/>
      <c r="S6" s="209"/>
      <c r="T6" s="209"/>
      <c r="U6" s="717" t="s">
        <v>504</v>
      </c>
      <c r="V6" s="717"/>
    </row>
    <row r="7" spans="3:22">
      <c r="C7" s="80" t="s">
        <v>444</v>
      </c>
      <c r="D7" s="152"/>
      <c r="E7" s="80"/>
      <c r="F7" s="362">
        <v>0</v>
      </c>
      <c r="G7" s="362">
        <v>0</v>
      </c>
      <c r="H7" s="362">
        <v>0</v>
      </c>
      <c r="I7" s="362">
        <v>0</v>
      </c>
      <c r="J7" s="362">
        <v>0</v>
      </c>
      <c r="K7" s="362">
        <v>0</v>
      </c>
      <c r="L7" s="79"/>
      <c r="M7" s="79"/>
      <c r="N7" s="210" t="s">
        <v>0</v>
      </c>
      <c r="O7" s="210" t="s">
        <v>158</v>
      </c>
      <c r="P7" s="210" t="s">
        <v>159</v>
      </c>
      <c r="Q7" s="210" t="s">
        <v>306</v>
      </c>
      <c r="R7" s="210" t="s">
        <v>307</v>
      </c>
      <c r="S7" s="209"/>
      <c r="T7" s="209"/>
      <c r="U7" s="293" t="s">
        <v>0</v>
      </c>
      <c r="V7" s="293" t="s">
        <v>479</v>
      </c>
    </row>
    <row r="8" spans="3:22">
      <c r="C8" s="80" t="s">
        <v>889</v>
      </c>
      <c r="D8" s="152"/>
      <c r="E8" s="80"/>
      <c r="F8" s="362">
        <f t="shared" ref="F8:K9" si="0">E17</f>
        <v>0</v>
      </c>
      <c r="G8" s="362">
        <f t="shared" si="0"/>
        <v>0</v>
      </c>
      <c r="H8" s="362">
        <f t="shared" si="0"/>
        <v>0</v>
      </c>
      <c r="I8" s="362">
        <f t="shared" si="0"/>
        <v>0</v>
      </c>
      <c r="J8" s="362">
        <f t="shared" si="0"/>
        <v>0</v>
      </c>
      <c r="K8" s="362">
        <f t="shared" si="0"/>
        <v>0</v>
      </c>
      <c r="L8" s="79"/>
      <c r="M8" s="79"/>
      <c r="N8" s="211" t="s">
        <v>357</v>
      </c>
      <c r="O8" s="211">
        <f>'17.Facility 6 Horti Processing '!C152</f>
        <v>0</v>
      </c>
      <c r="P8" s="211">
        <f>'17.Facility 6 Horti Processing '!C153</f>
        <v>0</v>
      </c>
      <c r="Q8" s="211">
        <f>'17.Facility 6 Horti Processing '!C154</f>
        <v>150</v>
      </c>
      <c r="R8" s="211">
        <f>'17.Facility 6 Horti Processing '!C155</f>
        <v>40</v>
      </c>
      <c r="S8" s="209"/>
      <c r="T8" s="209"/>
      <c r="U8" s="211" t="s">
        <v>332</v>
      </c>
      <c r="V8" s="211" t="str">
        <f>'13.Facility 2 Grain Processing-'!C95</f>
        <v>As per Purchase Schedule</v>
      </c>
    </row>
    <row r="9" spans="3:22">
      <c r="C9" s="80" t="str">
        <f>C18</f>
        <v xml:space="preserve">Grain Processing </v>
      </c>
      <c r="D9" s="80"/>
      <c r="E9" s="80"/>
      <c r="F9" s="362">
        <f>E18</f>
        <v>35.72</v>
      </c>
      <c r="G9" s="362">
        <f t="shared" si="0"/>
        <v>68.043499999999995</v>
      </c>
      <c r="H9" s="362">
        <f t="shared" si="0"/>
        <v>106.42677499999999</v>
      </c>
      <c r="I9" s="362">
        <f t="shared" si="0"/>
        <v>151.55290833333333</v>
      </c>
      <c r="J9" s="362">
        <f t="shared" si="0"/>
        <v>204.13560000000001</v>
      </c>
      <c r="K9" s="362">
        <f t="shared" si="0"/>
        <v>264.94499999999999</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62"/>
      <c r="G10" s="362"/>
      <c r="H10" s="362"/>
      <c r="I10" s="362"/>
      <c r="J10" s="362"/>
      <c r="K10" s="362"/>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Processing-'!A96</f>
        <v xml:space="preserve">Daily Labour </v>
      </c>
      <c r="V10" s="212" t="e">
        <f>'13.Facility 2 Grain Processing-'!B96*'13.Facility 2 Grain Processing-'!C96/('13.Facility 2 Grain Processing-'!B7*'13.Facility 2 Grain Processing-'!B8)</f>
        <v>#VALUE!</v>
      </c>
    </row>
    <row r="11" spans="3:22">
      <c r="C11" s="80"/>
      <c r="D11" s="80"/>
      <c r="E11" s="80"/>
      <c r="F11" s="362"/>
      <c r="G11" s="362"/>
      <c r="H11" s="362"/>
      <c r="I11" s="362"/>
      <c r="J11" s="362"/>
      <c r="K11" s="362"/>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Processing-'!A97</f>
        <v>Electricity Charges</v>
      </c>
      <c r="V11" s="211" t="e">
        <f>'13.Facility 2 Grain Processing-'!B97*'13.Facility 2 Grain Processing-'!C97/('13.Facility 2 Grain Processing-'!B7*'13.Facility 2 Grain Processing-'!B8)</f>
        <v>#VALUE!</v>
      </c>
    </row>
    <row r="12" spans="3:22">
      <c r="C12" s="80" t="s">
        <v>1</v>
      </c>
      <c r="D12" s="80"/>
      <c r="E12" s="81"/>
      <c r="F12" s="362">
        <f t="shared" ref="F12:K12" si="5">SUM(F6:F11)</f>
        <v>35.72</v>
      </c>
      <c r="G12" s="362">
        <f t="shared" si="5"/>
        <v>68.043499999999995</v>
      </c>
      <c r="H12" s="362">
        <f t="shared" si="5"/>
        <v>106.42677499999999</v>
      </c>
      <c r="I12" s="362">
        <f t="shared" si="5"/>
        <v>151.55290833333333</v>
      </c>
      <c r="J12" s="362">
        <f t="shared" si="5"/>
        <v>204.13560000000001</v>
      </c>
      <c r="K12" s="362">
        <f t="shared" si="5"/>
        <v>264.94499999999999</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Processing-'!A101</f>
        <v>Repairs &amp; Maintainence</v>
      </c>
      <c r="V12" s="211">
        <f>'13.Facility 2 Grain Processing-'!C101</f>
        <v>300</v>
      </c>
    </row>
    <row r="13" spans="3:22">
      <c r="C13" s="80"/>
      <c r="D13" s="80"/>
      <c r="E13" s="80"/>
      <c r="F13" s="362"/>
      <c r="G13" s="362"/>
      <c r="H13" s="362"/>
      <c r="I13" s="362"/>
      <c r="J13" s="362"/>
      <c r="K13" s="362"/>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Processing-'!A102</f>
        <v>Selling &amp; Dist Exp</v>
      </c>
      <c r="V13" s="10">
        <f>'13.Facility 2 Grain Processing-'!C102*100</f>
        <v>15900</v>
      </c>
    </row>
    <row r="14" spans="3:22">
      <c r="C14" s="82" t="s">
        <v>334</v>
      </c>
      <c r="D14" s="80"/>
      <c r="E14" s="80"/>
      <c r="F14" s="362"/>
      <c r="G14" s="362"/>
      <c r="H14" s="362"/>
      <c r="I14" s="362"/>
      <c r="J14" s="362"/>
      <c r="K14" s="362"/>
      <c r="L14" s="79"/>
      <c r="M14" s="79"/>
      <c r="N14" s="211"/>
      <c r="O14" s="10"/>
      <c r="P14" s="10"/>
      <c r="Q14" s="10"/>
      <c r="R14" s="10"/>
      <c r="S14" s="209"/>
      <c r="T14" s="209"/>
      <c r="U14" s="10"/>
      <c r="V14" s="10"/>
    </row>
    <row r="15" spans="3:22">
      <c r="C15" s="80" t="str">
        <f>C6</f>
        <v>Agri Input</v>
      </c>
      <c r="D15" s="482">
        <v>15</v>
      </c>
      <c r="E15" s="81">
        <v>0</v>
      </c>
      <c r="F15" s="362">
        <v>0</v>
      </c>
      <c r="G15" s="362">
        <v>0</v>
      </c>
      <c r="H15" s="362">
        <v>0</v>
      </c>
      <c r="I15" s="362">
        <v>0</v>
      </c>
      <c r="J15" s="362">
        <v>0</v>
      </c>
      <c r="K15" s="362">
        <v>0</v>
      </c>
      <c r="L15" s="79"/>
      <c r="M15" s="79"/>
      <c r="N15" s="10"/>
      <c r="O15" s="10"/>
      <c r="P15" s="10"/>
      <c r="Q15" s="10"/>
      <c r="R15" s="10"/>
      <c r="U15" s="10"/>
      <c r="V15" s="10"/>
    </row>
    <row r="16" spans="3:22">
      <c r="C16" s="80" t="str">
        <f>C7</f>
        <v>Trading</v>
      </c>
      <c r="D16" s="482">
        <v>15</v>
      </c>
      <c r="E16" s="81">
        <v>0</v>
      </c>
      <c r="F16" s="362">
        <v>0</v>
      </c>
      <c r="G16" s="362">
        <v>0</v>
      </c>
      <c r="H16" s="362">
        <v>0</v>
      </c>
      <c r="I16" s="362">
        <v>0</v>
      </c>
      <c r="J16" s="362">
        <v>0</v>
      </c>
      <c r="K16" s="362">
        <v>0</v>
      </c>
      <c r="L16" s="79"/>
      <c r="M16" s="79"/>
      <c r="N16" s="210" t="s">
        <v>358</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82">
        <v>15</v>
      </c>
      <c r="E17" s="81">
        <f>SUM('17.Facility 6 Horti Processing '!D152:D160)*$D$17</f>
        <v>0</v>
      </c>
      <c r="F17" s="362">
        <f>SUM('17.Facility 6 Horti Processing '!E152:E160)*$D$17</f>
        <v>0</v>
      </c>
      <c r="G17" s="362">
        <f>SUM('17.Facility 6 Horti Processing '!F152:F160)*$D$17</f>
        <v>0</v>
      </c>
      <c r="H17" s="362">
        <f>SUM('17.Facility 6 Horti Processing '!G152:G160)*$D$17</f>
        <v>0</v>
      </c>
      <c r="I17" s="362">
        <f>SUM('17.Facility 6 Horti Processing '!H152:H160)*$D$17</f>
        <v>0</v>
      </c>
      <c r="J17" s="362">
        <f>SUM('17.Facility 6 Horti Processing '!I152:I160)*$D$17</f>
        <v>0</v>
      </c>
      <c r="K17" s="362">
        <f>SUM('17.Facility 6 Horti Processing '!J152:J160)*$D$17</f>
        <v>0</v>
      </c>
      <c r="L17" s="79"/>
      <c r="M17" s="79"/>
    </row>
    <row r="18" spans="1:18">
      <c r="C18" s="80" t="s">
        <v>518</v>
      </c>
      <c r="D18" s="482" t="s">
        <v>963</v>
      </c>
      <c r="E18" s="362">
        <f>+'13.Facility 2 Grain Processing-'!C227+'13.Facility 2 Grain Processing-'!B352</f>
        <v>35.72</v>
      </c>
      <c r="F18" s="362">
        <f>+'13.Facility 2 Grain Processing-'!D227+'13.Facility 2 Grain Processing-'!C352</f>
        <v>68.043499999999995</v>
      </c>
      <c r="G18" s="362">
        <f>+'13.Facility 2 Grain Processing-'!E227+'13.Facility 2 Grain Processing-'!D352</f>
        <v>106.42677499999999</v>
      </c>
      <c r="H18" s="362">
        <f>+'13.Facility 2 Grain Processing-'!F227+'13.Facility 2 Grain Processing-'!E352</f>
        <v>151.55290833333333</v>
      </c>
      <c r="I18" s="362">
        <f>+'13.Facility 2 Grain Processing-'!G227+'13.Facility 2 Grain Processing-'!F352</f>
        <v>204.13560000000001</v>
      </c>
      <c r="J18" s="362">
        <f>+'13.Facility 2 Grain Processing-'!H227+'13.Facility 2 Grain Processing-'!G352</f>
        <v>264.94499999999999</v>
      </c>
      <c r="K18" s="362">
        <f>+'13.Facility 2 Grain Processing-'!I227+'13.Facility 2 Grain Processing-'!H352</f>
        <v>334.88996666666662</v>
      </c>
      <c r="L18" s="79"/>
      <c r="M18" s="79"/>
    </row>
    <row r="19" spans="1:18">
      <c r="C19" s="80"/>
      <c r="D19" s="207"/>
      <c r="E19" s="81"/>
      <c r="F19" s="362"/>
      <c r="G19" s="362"/>
      <c r="H19" s="362"/>
      <c r="I19" s="362"/>
      <c r="J19" s="362"/>
      <c r="K19" s="362"/>
      <c r="L19" s="79"/>
      <c r="M19" s="79"/>
    </row>
    <row r="20" spans="1:18">
      <c r="C20" s="80"/>
      <c r="D20" s="80"/>
      <c r="E20" s="80"/>
      <c r="F20" s="362"/>
      <c r="G20" s="362"/>
      <c r="H20" s="362"/>
      <c r="I20" s="362"/>
      <c r="J20" s="362"/>
      <c r="K20" s="362"/>
      <c r="L20" s="79"/>
      <c r="M20" s="79"/>
    </row>
    <row r="21" spans="1:18">
      <c r="C21" s="80" t="s">
        <v>1</v>
      </c>
      <c r="D21" s="80"/>
      <c r="E21" s="363">
        <f t="shared" ref="E21:K21" si="7">SUM(E15:E20)</f>
        <v>35.72</v>
      </c>
      <c r="F21" s="362">
        <f t="shared" si="7"/>
        <v>68.043499999999995</v>
      </c>
      <c r="G21" s="362">
        <f t="shared" si="7"/>
        <v>106.42677499999999</v>
      </c>
      <c r="H21" s="362">
        <f t="shared" si="7"/>
        <v>151.55290833333333</v>
      </c>
      <c r="I21" s="362">
        <f t="shared" si="7"/>
        <v>204.13560000000001</v>
      </c>
      <c r="J21" s="362">
        <f t="shared" si="7"/>
        <v>264.94499999999999</v>
      </c>
      <c r="K21" s="362">
        <f t="shared" si="7"/>
        <v>334.88996666666662</v>
      </c>
      <c r="L21" s="79"/>
      <c r="M21" s="79"/>
    </row>
    <row r="22" spans="1:18">
      <c r="C22" s="79"/>
      <c r="D22" s="79"/>
      <c r="E22" s="79"/>
      <c r="F22" s="79"/>
      <c r="G22" s="79"/>
      <c r="H22" s="79"/>
      <c r="I22" s="79"/>
      <c r="J22" s="79"/>
      <c r="K22" s="79"/>
      <c r="L22" s="79"/>
      <c r="M22" s="79"/>
    </row>
    <row r="23" spans="1:18" ht="41.1" customHeight="1">
      <c r="B23" s="597"/>
      <c r="C23" s="708" t="s">
        <v>407</v>
      </c>
      <c r="D23" s="708"/>
      <c r="E23" s="708"/>
      <c r="F23" s="708"/>
      <c r="G23" s="708"/>
      <c r="H23" s="708"/>
      <c r="I23" s="708"/>
      <c r="J23" s="708"/>
      <c r="K23" s="708"/>
      <c r="L23" s="292"/>
      <c r="M23" s="292"/>
      <c r="N23" s="292"/>
      <c r="O23" s="244"/>
      <c r="P23" s="244"/>
      <c r="Q23" s="244"/>
      <c r="R23" s="244"/>
    </row>
    <row r="24" spans="1:18">
      <c r="A24" t="s">
        <v>506</v>
      </c>
    </row>
    <row r="25" spans="1:18">
      <c r="A25">
        <v>1</v>
      </c>
      <c r="B25" t="s">
        <v>509</v>
      </c>
    </row>
    <row r="28" spans="1:18" ht="18.75">
      <c r="B28" s="703" t="s">
        <v>528</v>
      </c>
      <c r="C28" s="703"/>
      <c r="D28" s="703"/>
      <c r="E28" s="703"/>
      <c r="F28" s="703"/>
      <c r="G28" s="703"/>
      <c r="H28" s="703"/>
      <c r="I28" s="703"/>
      <c r="J28" s="703"/>
      <c r="K28" s="703"/>
    </row>
    <row r="30" spans="1:18">
      <c r="B30" s="721" t="s">
        <v>140</v>
      </c>
      <c r="C30" s="721" t="s">
        <v>0</v>
      </c>
      <c r="D30" s="722" t="s">
        <v>354</v>
      </c>
      <c r="E30" s="724" t="s">
        <v>154</v>
      </c>
      <c r="F30" s="725"/>
      <c r="G30" s="725"/>
      <c r="H30" s="725"/>
      <c r="I30" s="725"/>
      <c r="J30" s="725"/>
      <c r="K30" s="725"/>
    </row>
    <row r="31" spans="1:18" ht="31.5" customHeight="1">
      <c r="B31" s="721"/>
      <c r="C31" s="721"/>
      <c r="D31" s="723"/>
      <c r="E31" s="177" t="s">
        <v>2</v>
      </c>
      <c r="F31" s="177" t="s">
        <v>3</v>
      </c>
      <c r="G31" s="177" t="s">
        <v>4</v>
      </c>
      <c r="H31" s="177" t="s">
        <v>5</v>
      </c>
      <c r="I31" s="177" t="s">
        <v>6</v>
      </c>
      <c r="J31" s="177" t="s">
        <v>164</v>
      </c>
      <c r="K31" s="177" t="s">
        <v>163</v>
      </c>
    </row>
    <row r="32" spans="1:18">
      <c r="B32" s="180"/>
      <c r="C32" s="181"/>
      <c r="D32" s="181"/>
      <c r="E32" s="182"/>
      <c r="F32" s="182"/>
      <c r="G32" s="182"/>
      <c r="H32" s="182"/>
      <c r="I32" s="182"/>
      <c r="J32" s="182"/>
      <c r="K32" s="182"/>
    </row>
    <row r="33" spans="2:32" ht="28.5">
      <c r="B33" s="183" t="s">
        <v>168</v>
      </c>
      <c r="C33" s="184" t="s">
        <v>335</v>
      </c>
      <c r="D33" s="195"/>
      <c r="E33" s="185"/>
      <c r="F33" s="185"/>
      <c r="G33" s="185"/>
      <c r="H33" s="185"/>
      <c r="I33" s="185"/>
      <c r="J33" s="185"/>
      <c r="K33" s="185"/>
    </row>
    <row r="34" spans="2:32">
      <c r="B34" s="233">
        <v>1</v>
      </c>
      <c r="C34" s="186" t="s">
        <v>356</v>
      </c>
      <c r="D34" s="195">
        <v>14</v>
      </c>
      <c r="E34" s="483">
        <v>0</v>
      </c>
      <c r="F34" s="483">
        <v>0</v>
      </c>
      <c r="G34" s="483">
        <v>0</v>
      </c>
      <c r="H34" s="483">
        <v>0</v>
      </c>
      <c r="I34" s="483">
        <v>0</v>
      </c>
      <c r="J34" s="483">
        <v>0</v>
      </c>
      <c r="K34" s="483">
        <v>0</v>
      </c>
    </row>
    <row r="35" spans="2:32">
      <c r="B35" s="233">
        <v>2</v>
      </c>
      <c r="C35" s="186" t="s">
        <v>351</v>
      </c>
      <c r="D35" s="195">
        <v>14</v>
      </c>
      <c r="E35" s="483">
        <f>('15. Facility 4 Custom Hiring'!E39/365)*$D$35</f>
        <v>0</v>
      </c>
      <c r="F35" s="483">
        <f>('15. Facility 4 Custom Hiring'!F39/365)*$D$35</f>
        <v>0</v>
      </c>
      <c r="G35" s="483">
        <f>('15. Facility 4 Custom Hiring'!G39/365)*$D$35</f>
        <v>0</v>
      </c>
      <c r="H35" s="483">
        <f>('15. Facility 4 Custom Hiring'!H39/365)*$D$35</f>
        <v>0</v>
      </c>
      <c r="I35" s="483">
        <f>('15. Facility 4 Custom Hiring'!I39/365)*$D$35</f>
        <v>0</v>
      </c>
      <c r="J35" s="483">
        <f>('15. Facility 4 Custom Hiring'!J39/365)*$D$35</f>
        <v>0</v>
      </c>
      <c r="K35" s="483">
        <f>('15. Facility 4 Custom Hiring'!K39/365)*$D$35</f>
        <v>0</v>
      </c>
    </row>
    <row r="36" spans="2:32">
      <c r="B36" s="233">
        <v>3</v>
      </c>
      <c r="C36" s="186" t="s">
        <v>352</v>
      </c>
      <c r="D36" s="195">
        <v>14</v>
      </c>
      <c r="E36" s="483">
        <v>0</v>
      </c>
      <c r="F36" s="483">
        <v>0</v>
      </c>
      <c r="G36" s="483">
        <v>0</v>
      </c>
      <c r="H36" s="483">
        <v>0</v>
      </c>
      <c r="I36" s="483">
        <v>0</v>
      </c>
      <c r="J36" s="483">
        <v>0</v>
      </c>
      <c r="K36" s="483">
        <v>0</v>
      </c>
    </row>
    <row r="37" spans="2:32">
      <c r="B37" s="233">
        <v>4</v>
      </c>
      <c r="C37" s="186" t="s">
        <v>136</v>
      </c>
      <c r="D37" s="195">
        <v>14</v>
      </c>
      <c r="E37" s="483">
        <f>('17.Facility 6 Horti Processing '!D148/365)*$D$37</f>
        <v>0</v>
      </c>
      <c r="F37" s="483">
        <f>('17.Facility 6 Horti Processing '!E148/365)*$D$37</f>
        <v>0</v>
      </c>
      <c r="G37" s="483">
        <f>('17.Facility 6 Horti Processing '!F148/365)*$D$37</f>
        <v>0</v>
      </c>
      <c r="H37" s="483">
        <f>('17.Facility 6 Horti Processing '!G148/365)*$D$37</f>
        <v>0</v>
      </c>
      <c r="I37" s="483">
        <f>('17.Facility 6 Horti Processing '!H148/365)*$D$37</f>
        <v>0</v>
      </c>
      <c r="J37" s="483">
        <f>('17.Facility 6 Horti Processing '!I148/365)*$D$37</f>
        <v>0</v>
      </c>
      <c r="K37" s="483">
        <f>('17.Facility 6 Horti Processing '!J148/365)*$D$37</f>
        <v>0</v>
      </c>
    </row>
    <row r="38" spans="2:32">
      <c r="B38" s="233">
        <v>5</v>
      </c>
      <c r="C38" s="186" t="s">
        <v>290</v>
      </c>
      <c r="D38" s="195">
        <v>30</v>
      </c>
      <c r="E38" s="483">
        <f>('14. Facility 3 Warehouse'!D23/365)*$D$38</f>
        <v>0</v>
      </c>
      <c r="F38" s="483">
        <f>('14. Facility 3 Warehouse'!E23/365)*$D$38</f>
        <v>0</v>
      </c>
      <c r="G38" s="483">
        <f>('14. Facility 3 Warehouse'!F23/365)*$D$38</f>
        <v>0</v>
      </c>
      <c r="H38" s="483">
        <f>('14. Facility 3 Warehouse'!G23/365)*$D$38</f>
        <v>0</v>
      </c>
      <c r="I38" s="483">
        <f>('14. Facility 3 Warehouse'!H23/365)*$D$38</f>
        <v>0</v>
      </c>
      <c r="J38" s="483">
        <f>('14. Facility 3 Warehouse'!I23/365)*$D$38</f>
        <v>0</v>
      </c>
      <c r="K38" s="483">
        <f>('14. Facility 3 Warehouse'!J23/365)*$D$38</f>
        <v>0</v>
      </c>
    </row>
    <row r="39" spans="2:32">
      <c r="B39" s="233">
        <v>6</v>
      </c>
      <c r="C39" s="186" t="s">
        <v>968</v>
      </c>
      <c r="D39" s="195">
        <v>20</v>
      </c>
      <c r="E39" s="483">
        <f>+'13.Facility 2 Grain Processing-'!D87/365*20</f>
        <v>35.891506849315078</v>
      </c>
      <c r="F39" s="483">
        <f>+'13.Facility 2 Grain Processing-'!E87/365*20</f>
        <v>41.539315068493146</v>
      </c>
      <c r="G39" s="483">
        <f>+'13.Facility 2 Grain Processing-'!F87/365*20</f>
        <v>47.588052054794517</v>
      </c>
      <c r="H39" s="483">
        <f>+'13.Facility 2 Grain Processing-'!G87/365*20</f>
        <v>54.147045570776264</v>
      </c>
      <c r="I39" s="483">
        <f>+'13.Facility 2 Grain Processing-'!H87/365*20</f>
        <v>61.236587041095888</v>
      </c>
      <c r="J39" s="483">
        <f>+'13.Facility 2 Grain Processing-'!I87/365*20</f>
        <v>68.824212818493152</v>
      </c>
      <c r="K39" s="483">
        <f>+'13.Facility 2 Grain Processing-'!J87/365*20</f>
        <v>77.099796785936064</v>
      </c>
    </row>
    <row r="40" spans="2:32">
      <c r="B40" s="221"/>
      <c r="C40" s="184" t="s">
        <v>166</v>
      </c>
      <c r="D40" s="195"/>
      <c r="E40" s="483">
        <f t="shared" ref="E40:K40" si="8">SUM(E34:E39)</f>
        <v>35.891506849315078</v>
      </c>
      <c r="F40" s="483">
        <f t="shared" si="8"/>
        <v>41.539315068493146</v>
      </c>
      <c r="G40" s="483">
        <f t="shared" si="8"/>
        <v>47.588052054794517</v>
      </c>
      <c r="H40" s="483">
        <f t="shared" si="8"/>
        <v>54.147045570776264</v>
      </c>
      <c r="I40" s="483">
        <f t="shared" si="8"/>
        <v>61.236587041095888</v>
      </c>
      <c r="J40" s="483">
        <f t="shared" si="8"/>
        <v>68.824212818493152</v>
      </c>
      <c r="K40" s="483">
        <f t="shared" si="8"/>
        <v>77.099796785936064</v>
      </c>
    </row>
    <row r="41" spans="2:32">
      <c r="B41" s="325"/>
      <c r="C41" s="184"/>
      <c r="D41" s="324"/>
      <c r="E41" s="483"/>
      <c r="F41" s="483"/>
      <c r="G41" s="483"/>
      <c r="H41" s="483"/>
      <c r="I41" s="483"/>
      <c r="J41" s="483"/>
      <c r="K41" s="483"/>
    </row>
    <row r="42" spans="2:32">
      <c r="B42" s="183" t="s">
        <v>169</v>
      </c>
      <c r="C42" s="184" t="s">
        <v>334</v>
      </c>
      <c r="D42" s="195"/>
      <c r="E42" s="483">
        <f>'5.Closing Stock &amp; W Capital'!E21</f>
        <v>35.72</v>
      </c>
      <c r="F42" s="483">
        <f>'5.Closing Stock &amp; W Capital'!F21</f>
        <v>68.043499999999995</v>
      </c>
      <c r="G42" s="483">
        <f>'5.Closing Stock &amp; W Capital'!G21</f>
        <v>106.42677499999999</v>
      </c>
      <c r="H42" s="483">
        <f>'5.Closing Stock &amp; W Capital'!H21</f>
        <v>151.55290833333333</v>
      </c>
      <c r="I42" s="483">
        <f>'5.Closing Stock &amp; W Capital'!I21</f>
        <v>204.13560000000001</v>
      </c>
      <c r="J42" s="483">
        <f>'5.Closing Stock &amp; W Capital'!J21</f>
        <v>264.94499999999999</v>
      </c>
      <c r="K42" s="483">
        <f>'5.Closing Stock &amp; W Capital'!K21</f>
        <v>334.88996666666662</v>
      </c>
    </row>
    <row r="43" spans="2:32">
      <c r="B43" s="183"/>
      <c r="C43" s="186"/>
      <c r="D43" s="195"/>
      <c r="E43" s="483"/>
      <c r="F43" s="483"/>
      <c r="G43" s="483"/>
      <c r="H43" s="483"/>
      <c r="I43" s="483"/>
      <c r="J43" s="483"/>
      <c r="K43" s="483"/>
    </row>
    <row r="44" spans="2:32">
      <c r="B44" s="719" t="s">
        <v>1</v>
      </c>
      <c r="C44" s="720"/>
      <c r="D44" s="206"/>
      <c r="E44" s="484">
        <f>SUM(E40:E42)</f>
        <v>71.611506849315077</v>
      </c>
      <c r="F44" s="484">
        <f t="shared" ref="F44:K44" si="9">SUM(F40:F42)</f>
        <v>109.58281506849315</v>
      </c>
      <c r="G44" s="484">
        <f t="shared" si="9"/>
        <v>154.01482705479452</v>
      </c>
      <c r="H44" s="484">
        <f t="shared" si="9"/>
        <v>205.69995390410961</v>
      </c>
      <c r="I44" s="484">
        <f t="shared" si="9"/>
        <v>265.37218704109591</v>
      </c>
      <c r="J44" s="484">
        <f t="shared" si="9"/>
        <v>333.76921281849314</v>
      </c>
      <c r="K44" s="484">
        <f t="shared" si="9"/>
        <v>411.98976345260269</v>
      </c>
    </row>
    <row r="45" spans="2:32">
      <c r="B45" s="183"/>
      <c r="C45" s="184"/>
      <c r="D45" s="195"/>
      <c r="E45" s="483"/>
      <c r="F45" s="483"/>
      <c r="G45" s="483"/>
      <c r="H45" s="483"/>
      <c r="I45" s="483"/>
      <c r="J45" s="483"/>
      <c r="K45" s="483"/>
    </row>
    <row r="46" spans="2:32" ht="34.5" customHeight="1">
      <c r="B46" s="183" t="s">
        <v>170</v>
      </c>
      <c r="C46" s="186" t="s">
        <v>336</v>
      </c>
      <c r="D46" s="195"/>
      <c r="E46" s="483"/>
      <c r="F46" s="483"/>
      <c r="G46" s="483"/>
      <c r="H46" s="483"/>
      <c r="I46" s="483"/>
      <c r="J46" s="483"/>
      <c r="K46" s="483"/>
      <c r="AF46">
        <v>30000000</v>
      </c>
    </row>
    <row r="47" spans="2:32">
      <c r="B47" s="233">
        <v>1</v>
      </c>
      <c r="C47" s="186" t="str">
        <f t="shared" ref="C47:C52" si="10">C34</f>
        <v>Agri Input</v>
      </c>
      <c r="D47" s="195">
        <v>7</v>
      </c>
      <c r="E47" s="483">
        <v>0</v>
      </c>
      <c r="F47" s="483">
        <v>0</v>
      </c>
      <c r="G47" s="483">
        <v>0</v>
      </c>
      <c r="H47" s="483">
        <v>0</v>
      </c>
      <c r="I47" s="483">
        <v>0</v>
      </c>
      <c r="J47" s="483">
        <v>0</v>
      </c>
      <c r="K47" s="483">
        <v>0</v>
      </c>
      <c r="AF47">
        <f>+AF46*5%</f>
        <v>1500000</v>
      </c>
    </row>
    <row r="48" spans="2:32">
      <c r="B48" s="233">
        <v>2</v>
      </c>
      <c r="C48" s="186" t="str">
        <f t="shared" si="10"/>
        <v>Custom Hiring</v>
      </c>
      <c r="D48" s="195">
        <v>7</v>
      </c>
      <c r="E48" s="483">
        <f>('15. Facility 4 Custom Hiring'!E49/365)*$D$49</f>
        <v>0</v>
      </c>
      <c r="F48" s="483">
        <f>('15. Facility 4 Custom Hiring'!F49/365)*$D$49</f>
        <v>0</v>
      </c>
      <c r="G48" s="483">
        <f>('15. Facility 4 Custom Hiring'!G49/365)*$D$49</f>
        <v>0</v>
      </c>
      <c r="H48" s="483">
        <f>('15. Facility 4 Custom Hiring'!H49/365)*$D$49</f>
        <v>0</v>
      </c>
      <c r="I48" s="483">
        <f>('15. Facility 4 Custom Hiring'!I49/365)*$D$49</f>
        <v>0</v>
      </c>
      <c r="J48" s="483">
        <f>('15. Facility 4 Custom Hiring'!J49/365)*$D$49</f>
        <v>0</v>
      </c>
      <c r="K48" s="483">
        <f>('15. Facility 4 Custom Hiring'!K49/365)*$D$49</f>
        <v>0</v>
      </c>
    </row>
    <row r="49" spans="2:12">
      <c r="B49" s="233">
        <v>3</v>
      </c>
      <c r="C49" s="186" t="str">
        <f t="shared" si="10"/>
        <v>Cleaning &amp; Grading</v>
      </c>
      <c r="D49" s="195">
        <v>7</v>
      </c>
      <c r="E49" s="483">
        <v>0</v>
      </c>
      <c r="F49" s="483">
        <v>0</v>
      </c>
      <c r="G49" s="483">
        <v>0</v>
      </c>
      <c r="H49" s="483">
        <v>0</v>
      </c>
      <c r="I49" s="483">
        <v>0</v>
      </c>
      <c r="J49" s="483">
        <v>0</v>
      </c>
      <c r="K49" s="483">
        <v>0</v>
      </c>
    </row>
    <row r="50" spans="2:12">
      <c r="B50" s="233">
        <v>4</v>
      </c>
      <c r="C50" s="186" t="str">
        <f t="shared" si="10"/>
        <v>Dal Mill</v>
      </c>
      <c r="D50" s="195">
        <v>7</v>
      </c>
      <c r="E50" s="483">
        <f>('17.Facility 6 Horti Processing '!D169/365)*$D$50</f>
        <v>0</v>
      </c>
      <c r="F50" s="483">
        <f>('17.Facility 6 Horti Processing '!E169/365)*$D$50</f>
        <v>0</v>
      </c>
      <c r="G50" s="483">
        <f>('17.Facility 6 Horti Processing '!F169/365)*$D$50</f>
        <v>0</v>
      </c>
      <c r="H50" s="483">
        <f>('17.Facility 6 Horti Processing '!G169/365)*$D$50</f>
        <v>0</v>
      </c>
      <c r="I50" s="483">
        <f>('17.Facility 6 Horti Processing '!H169/365)*$D$50</f>
        <v>0</v>
      </c>
      <c r="J50" s="483">
        <f>('17.Facility 6 Horti Processing '!I169/365)*$D$50</f>
        <v>0</v>
      </c>
      <c r="K50" s="483">
        <f>('17.Facility 6 Horti Processing '!J169/365)*$D$50</f>
        <v>0</v>
      </c>
    </row>
    <row r="51" spans="2:12">
      <c r="B51" s="233">
        <v>5</v>
      </c>
      <c r="C51" s="186" t="str">
        <f t="shared" si="10"/>
        <v>Warehouse</v>
      </c>
      <c r="D51" s="195">
        <v>7</v>
      </c>
      <c r="E51" s="483">
        <f>('14. Facility 3 Warehouse'!D34/365)*$D$51</f>
        <v>0</v>
      </c>
      <c r="F51" s="483">
        <f>('14. Facility 3 Warehouse'!E34/365)*$D$51</f>
        <v>0</v>
      </c>
      <c r="G51" s="483">
        <f>('14. Facility 3 Warehouse'!F34/365)*$D$51</f>
        <v>0</v>
      </c>
      <c r="H51" s="483">
        <f>('14. Facility 3 Warehouse'!G34/365)*$D$51</f>
        <v>0</v>
      </c>
      <c r="I51" s="483">
        <f>('14. Facility 3 Warehouse'!H34/365)*$D$51</f>
        <v>0</v>
      </c>
      <c r="J51" s="483">
        <f>('14. Facility 3 Warehouse'!I34/365)*$D$51</f>
        <v>0</v>
      </c>
      <c r="K51" s="483">
        <f>('14. Facility 3 Warehouse'!J34/365)*$D$51</f>
        <v>0</v>
      </c>
    </row>
    <row r="52" spans="2:12">
      <c r="B52" s="233"/>
      <c r="C52" s="186" t="str">
        <f t="shared" si="10"/>
        <v>Processing Unit - Rice Mill</v>
      </c>
      <c r="D52" s="195">
        <v>30</v>
      </c>
      <c r="E52" s="483">
        <f>+(+SUM('13.Facility 2 Grain Processing-'!D95:D103)+'13.Facility 2 Grain Processing-'!D126+'3.Other Exp &amp; Taxes'!C18)/12</f>
        <v>52.153637500000002</v>
      </c>
      <c r="F52" s="483">
        <f>+(+SUM('13.Facility 2 Grain Processing-'!E95:E103)+'13.Facility 2 Grain Processing-'!E126+'3.Other Exp &amp; Taxes'!D18)/12</f>
        <v>59.058063125000018</v>
      </c>
      <c r="G52" s="483">
        <f>+(+SUM('13.Facility 2 Grain Processing-'!F95:F103)+'13.Facility 2 Grain Processing-'!F126+'3.Other Exp &amp; Taxes'!E18)/12</f>
        <v>67.366398864583331</v>
      </c>
      <c r="H52" s="483">
        <f>+(+SUM('13.Facility 2 Grain Processing-'!G95:G103)+'13.Facility 2 Grain Processing-'!G126+'3.Other Exp &amp; Taxes'!F18)/12</f>
        <v>76.342161723317716</v>
      </c>
      <c r="I52" s="483">
        <f>+(+SUM('13.Facility 2 Grain Processing-'!H95:H103)+'13.Facility 2 Grain Processing-'!H126+'3.Other Exp &amp; Taxes'!G18)/12</f>
        <v>86.022864869805105</v>
      </c>
      <c r="J52" s="483">
        <f>+(+SUM('13.Facility 2 Grain Processing-'!I95:I103)+'13.Facility 2 Grain Processing-'!I126+'3.Other Exp &amp; Taxes'!H18)/12</f>
        <v>96.477103252801172</v>
      </c>
      <c r="K52" s="483">
        <f>+(+SUM('13.Facility 2 Grain Processing-'!J95:J103)+'13.Facility 2 Grain Processing-'!J126+'3.Other Exp &amp; Taxes'!I18)/12</f>
        <v>107.81268380920015</v>
      </c>
    </row>
    <row r="53" spans="2:12">
      <c r="B53" s="233"/>
      <c r="C53" s="186"/>
      <c r="D53" s="195"/>
      <c r="E53" s="483"/>
      <c r="F53" s="483"/>
      <c r="G53" s="483"/>
      <c r="H53" s="483"/>
      <c r="I53" s="483"/>
      <c r="J53" s="483"/>
      <c r="K53" s="483"/>
    </row>
    <row r="54" spans="2:12">
      <c r="B54" s="178"/>
      <c r="C54" s="184" t="s">
        <v>1</v>
      </c>
      <c r="D54" s="195"/>
      <c r="E54" s="484">
        <f>SUM(E47:E53)</f>
        <v>52.153637500000002</v>
      </c>
      <c r="F54" s="484">
        <f t="shared" ref="F54:K54" si="11">SUM(F47:F53)</f>
        <v>59.058063125000018</v>
      </c>
      <c r="G54" s="484">
        <f t="shared" si="11"/>
        <v>67.366398864583331</v>
      </c>
      <c r="H54" s="484">
        <f t="shared" si="11"/>
        <v>76.342161723317716</v>
      </c>
      <c r="I54" s="484">
        <f t="shared" si="11"/>
        <v>86.022864869805105</v>
      </c>
      <c r="J54" s="484">
        <f t="shared" si="11"/>
        <v>96.477103252801172</v>
      </c>
      <c r="K54" s="484">
        <f t="shared" si="11"/>
        <v>107.81268380920015</v>
      </c>
    </row>
    <row r="55" spans="2:12">
      <c r="B55" s="183" t="s">
        <v>171</v>
      </c>
      <c r="C55" s="184" t="s">
        <v>152</v>
      </c>
      <c r="D55" s="195"/>
      <c r="E55" s="484">
        <f>E44-E54</f>
        <v>19.457869349315075</v>
      </c>
      <c r="F55" s="484">
        <f t="shared" ref="F55:K55" si="12">F44-F54</f>
        <v>50.524751943493129</v>
      </c>
      <c r="G55" s="484">
        <f t="shared" si="12"/>
        <v>86.648428190211192</v>
      </c>
      <c r="H55" s="484">
        <f t="shared" si="12"/>
        <v>129.35779218079188</v>
      </c>
      <c r="I55" s="484">
        <f t="shared" si="12"/>
        <v>179.34932217129079</v>
      </c>
      <c r="J55" s="484">
        <f t="shared" si="12"/>
        <v>237.29210956569199</v>
      </c>
      <c r="K55" s="484">
        <f t="shared" si="12"/>
        <v>304.17707964340252</v>
      </c>
    </row>
    <row r="56" spans="2:12" ht="42.75">
      <c r="B56" s="325"/>
      <c r="C56" s="184" t="s">
        <v>819</v>
      </c>
      <c r="D56" s="485">
        <v>0.75</v>
      </c>
      <c r="E56" s="484">
        <f>+E55*$D$56</f>
        <v>14.593402011986306</v>
      </c>
      <c r="F56" s="484">
        <f t="shared" ref="F56:K56" si="13">+F55*$D$56</f>
        <v>37.893563957619847</v>
      </c>
      <c r="G56" s="484">
        <f t="shared" si="13"/>
        <v>64.986321142658397</v>
      </c>
      <c r="H56" s="484">
        <f t="shared" si="13"/>
        <v>97.018344135593907</v>
      </c>
      <c r="I56" s="484">
        <f t="shared" si="13"/>
        <v>134.51199162846808</v>
      </c>
      <c r="J56" s="484">
        <f t="shared" si="13"/>
        <v>177.96908217426898</v>
      </c>
      <c r="K56" s="484">
        <f t="shared" si="13"/>
        <v>228.13280973255189</v>
      </c>
    </row>
    <row r="57" spans="2:12">
      <c r="B57" s="183"/>
      <c r="C57" s="184" t="s">
        <v>130</v>
      </c>
      <c r="D57" s="240">
        <v>0.25</v>
      </c>
      <c r="E57" s="484">
        <f>+E55*$D$57</f>
        <v>4.8644673373287688</v>
      </c>
      <c r="F57" s="484">
        <f t="shared" ref="F57:K57" si="14">+F55*$D$57</f>
        <v>12.631187985873282</v>
      </c>
      <c r="G57" s="484">
        <f t="shared" si="14"/>
        <v>21.662107047552798</v>
      </c>
      <c r="H57" s="484">
        <f t="shared" si="14"/>
        <v>32.339448045197969</v>
      </c>
      <c r="I57" s="484">
        <f t="shared" si="14"/>
        <v>44.837330542822698</v>
      </c>
      <c r="J57" s="484">
        <f t="shared" si="14"/>
        <v>59.323027391422997</v>
      </c>
      <c r="K57" s="484">
        <f t="shared" si="14"/>
        <v>76.04426991085063</v>
      </c>
    </row>
    <row r="59" spans="2:12">
      <c r="E59" s="27"/>
    </row>
    <row r="60" spans="2:12" ht="36.950000000000003" customHeight="1">
      <c r="B60" s="716" t="s">
        <v>402</v>
      </c>
      <c r="C60" s="716"/>
      <c r="D60" s="716"/>
      <c r="E60" s="716"/>
      <c r="F60" s="716"/>
      <c r="G60" s="716"/>
      <c r="H60" s="716"/>
      <c r="I60" s="716"/>
      <c r="J60" s="716"/>
      <c r="K60" s="716"/>
      <c r="L60" s="598"/>
    </row>
    <row r="61" spans="2:12">
      <c r="B61" t="s">
        <v>510</v>
      </c>
    </row>
    <row r="62" spans="2:12">
      <c r="B62">
        <v>1</v>
      </c>
      <c r="C62" t="s">
        <v>828</v>
      </c>
    </row>
    <row r="63" spans="2:12">
      <c r="B63">
        <v>2</v>
      </c>
      <c r="C63" t="s">
        <v>829</v>
      </c>
    </row>
    <row r="64" spans="2:12">
      <c r="B64">
        <v>3</v>
      </c>
      <c r="C64" t="s">
        <v>830</v>
      </c>
    </row>
    <row r="69" spans="3:14">
      <c r="C69" s="330" t="s">
        <v>743</v>
      </c>
      <c r="D69" s="330" t="s">
        <v>0</v>
      </c>
      <c r="E69" s="330" t="s">
        <v>2</v>
      </c>
      <c r="F69" s="330" t="s">
        <v>3</v>
      </c>
      <c r="G69" s="330" t="s">
        <v>4</v>
      </c>
      <c r="H69" s="330" t="s">
        <v>5</v>
      </c>
      <c r="I69" s="330" t="s">
        <v>6</v>
      </c>
      <c r="J69" s="330" t="s">
        <v>164</v>
      </c>
      <c r="K69" s="330" t="s">
        <v>163</v>
      </c>
      <c r="L69" s="330" t="s">
        <v>676</v>
      </c>
      <c r="M69" s="330" t="s">
        <v>677</v>
      </c>
      <c r="N69" s="330" t="s">
        <v>678</v>
      </c>
    </row>
    <row r="70" spans="3:14">
      <c r="C70" s="336"/>
      <c r="D70" s="336"/>
      <c r="E70" s="336"/>
      <c r="F70" s="336"/>
      <c r="G70" s="336"/>
      <c r="H70" s="336"/>
      <c r="I70" s="336"/>
      <c r="J70" s="321"/>
      <c r="K70" s="321"/>
      <c r="L70" s="321"/>
      <c r="M70" s="321"/>
      <c r="N70" s="321"/>
    </row>
    <row r="71" spans="3:14">
      <c r="C71" s="387">
        <v>1</v>
      </c>
      <c r="D71" s="336" t="s">
        <v>744</v>
      </c>
      <c r="E71" s="388">
        <f>[1]BS!E102</f>
        <v>0</v>
      </c>
      <c r="F71" s="388">
        <f>[1]BS!F102</f>
        <v>0</v>
      </c>
      <c r="G71" s="388">
        <f>[1]BS!G102</f>
        <v>0</v>
      </c>
      <c r="H71" s="388">
        <f>[1]BS!H102</f>
        <v>0</v>
      </c>
      <c r="I71" s="388">
        <f>[1]BS!I102</f>
        <v>0</v>
      </c>
      <c r="J71" s="388">
        <f>[1]BS!J102</f>
        <v>0</v>
      </c>
      <c r="K71" s="388">
        <f>[1]BS!K102</f>
        <v>0</v>
      </c>
      <c r="L71" s="388">
        <f>[1]BS!L102</f>
        <v>0</v>
      </c>
      <c r="M71" s="388">
        <f>[1]BS!M102</f>
        <v>0</v>
      </c>
      <c r="N71" s="388">
        <f>[1]BS!N102</f>
        <v>0</v>
      </c>
    </row>
    <row r="72" spans="3:14">
      <c r="C72" s="387">
        <v>2</v>
      </c>
      <c r="D72" s="336" t="s">
        <v>745</v>
      </c>
      <c r="E72" s="388">
        <f>[1]BS!E106+[1]BS!E107</f>
        <v>0</v>
      </c>
      <c r="F72" s="388">
        <f>[1]BS!F106+[1]BS!F107</f>
        <v>0</v>
      </c>
      <c r="G72" s="388">
        <f>[1]BS!G106+[1]BS!G107</f>
        <v>0</v>
      </c>
      <c r="H72" s="388">
        <f>[1]BS!H106+[1]BS!H107</f>
        <v>0</v>
      </c>
      <c r="I72" s="388">
        <f>[1]BS!I106+[1]BS!I107</f>
        <v>0</v>
      </c>
      <c r="J72" s="388">
        <f>[1]BS!J106+[1]BS!J107</f>
        <v>0</v>
      </c>
      <c r="K72" s="388">
        <f>[1]BS!K106+[1]BS!K107</f>
        <v>0</v>
      </c>
      <c r="L72" s="388">
        <f>[1]BS!L106+[1]BS!L107</f>
        <v>0</v>
      </c>
      <c r="M72" s="388">
        <f>[1]BS!M106+[1]BS!M107</f>
        <v>0</v>
      </c>
      <c r="N72" s="388">
        <f>[1]BS!N106+[1]BS!N107</f>
        <v>0</v>
      </c>
    </row>
    <row r="73" spans="3:14">
      <c r="C73" s="387">
        <v>3</v>
      </c>
      <c r="D73" s="336" t="s">
        <v>746</v>
      </c>
      <c r="E73" s="389">
        <f>[1]BS!E88</f>
        <v>0</v>
      </c>
      <c r="F73" s="389">
        <f>[1]BS!F88</f>
        <v>0</v>
      </c>
      <c r="G73" s="389">
        <f>[1]BS!G88</f>
        <v>0</v>
      </c>
      <c r="H73" s="389">
        <f>[1]BS!H88</f>
        <v>0</v>
      </c>
      <c r="I73" s="389">
        <f>[1]BS!I88</f>
        <v>0</v>
      </c>
      <c r="J73" s="389">
        <f>[1]BS!J88</f>
        <v>0</v>
      </c>
      <c r="K73" s="389">
        <f>[1]BS!K88</f>
        <v>0</v>
      </c>
      <c r="L73" s="389">
        <f>[1]BS!L88</f>
        <v>0</v>
      </c>
      <c r="M73" s="389">
        <f>[1]BS!M88</f>
        <v>0</v>
      </c>
      <c r="N73" s="389">
        <f>[1]BS!N88</f>
        <v>0</v>
      </c>
    </row>
    <row r="74" spans="3:14">
      <c r="C74" s="389"/>
      <c r="D74" s="336"/>
      <c r="E74" s="389"/>
      <c r="F74" s="389"/>
      <c r="G74" s="389"/>
      <c r="H74" s="389"/>
      <c r="I74" s="389"/>
      <c r="J74" s="389"/>
      <c r="K74" s="389"/>
      <c r="L74" s="321"/>
      <c r="M74" s="321"/>
      <c r="N74" s="321"/>
    </row>
    <row r="75" spans="3:14">
      <c r="C75" s="390"/>
      <c r="D75" s="336" t="s">
        <v>747</v>
      </c>
      <c r="E75" s="391">
        <f t="shared" ref="E75:N75" si="15">E71+E72-E73</f>
        <v>0</v>
      </c>
      <c r="F75" s="391">
        <f t="shared" si="15"/>
        <v>0</v>
      </c>
      <c r="G75" s="391">
        <f t="shared" si="15"/>
        <v>0</v>
      </c>
      <c r="H75" s="391">
        <f t="shared" si="15"/>
        <v>0</v>
      </c>
      <c r="I75" s="391">
        <f t="shared" si="15"/>
        <v>0</v>
      </c>
      <c r="J75" s="391">
        <f t="shared" si="15"/>
        <v>0</v>
      </c>
      <c r="K75" s="391">
        <f t="shared" si="15"/>
        <v>0</v>
      </c>
      <c r="L75" s="391">
        <f t="shared" si="15"/>
        <v>0</v>
      </c>
      <c r="M75" s="391">
        <f t="shared" si="15"/>
        <v>0</v>
      </c>
      <c r="N75" s="391">
        <f t="shared" si="15"/>
        <v>0</v>
      </c>
    </row>
    <row r="76" spans="3:14">
      <c r="C76" s="390"/>
      <c r="D76" s="336"/>
      <c r="E76" s="389"/>
      <c r="F76" s="389"/>
      <c r="G76" s="389"/>
      <c r="H76" s="389"/>
      <c r="I76" s="389"/>
      <c r="J76" s="389"/>
      <c r="K76" s="389"/>
      <c r="L76" s="321"/>
      <c r="M76" s="321"/>
      <c r="N76" s="321"/>
    </row>
    <row r="77" spans="3:14">
      <c r="C77" s="390"/>
      <c r="D77" s="336"/>
      <c r="E77" s="389"/>
      <c r="F77" s="389"/>
      <c r="G77" s="389"/>
      <c r="H77" s="389"/>
      <c r="I77" s="389"/>
      <c r="J77" s="389"/>
      <c r="K77" s="389"/>
      <c r="L77" s="321"/>
      <c r="M77" s="321"/>
      <c r="N77" s="321"/>
    </row>
    <row r="78" spans="3:14" ht="75">
      <c r="C78" s="392"/>
      <c r="D78" s="393" t="s">
        <v>748</v>
      </c>
      <c r="E78" s="394">
        <f>E71+E72-E73</f>
        <v>0</v>
      </c>
      <c r="F78" s="394">
        <f t="shared" ref="F78:N78" si="16">F71+F72-F73</f>
        <v>0</v>
      </c>
      <c r="G78" s="394">
        <f t="shared" si="16"/>
        <v>0</v>
      </c>
      <c r="H78" s="394">
        <f t="shared" si="16"/>
        <v>0</v>
      </c>
      <c r="I78" s="394">
        <f t="shared" si="16"/>
        <v>0</v>
      </c>
      <c r="J78" s="394">
        <f t="shared" si="16"/>
        <v>0</v>
      </c>
      <c r="K78" s="394">
        <f t="shared" si="16"/>
        <v>0</v>
      </c>
      <c r="L78" s="394">
        <f t="shared" si="16"/>
        <v>0</v>
      </c>
      <c r="M78" s="394">
        <f t="shared" si="16"/>
        <v>0</v>
      </c>
      <c r="N78" s="394">
        <f t="shared" si="16"/>
        <v>0</v>
      </c>
    </row>
    <row r="79" spans="3:14">
      <c r="C79" s="390"/>
      <c r="D79" s="336"/>
      <c r="E79" s="336"/>
      <c r="F79" s="336"/>
      <c r="G79" s="336"/>
      <c r="H79" s="336"/>
      <c r="I79" s="336"/>
      <c r="J79" s="321"/>
      <c r="K79" s="321"/>
      <c r="L79" s="321"/>
      <c r="M79" s="321"/>
      <c r="N79" s="321"/>
    </row>
    <row r="80" spans="3:14">
      <c r="C80" s="390"/>
      <c r="D80" s="336" t="s">
        <v>749</v>
      </c>
      <c r="E80" s="391">
        <f>E78*0.25</f>
        <v>0</v>
      </c>
      <c r="F80" s="391">
        <f t="shared" ref="F80:N80" si="17">F78*0.25</f>
        <v>0</v>
      </c>
      <c r="G80" s="391">
        <f t="shared" si="17"/>
        <v>0</v>
      </c>
      <c r="H80" s="391">
        <f t="shared" si="17"/>
        <v>0</v>
      </c>
      <c r="I80" s="391">
        <f t="shared" si="17"/>
        <v>0</v>
      </c>
      <c r="J80" s="391">
        <f t="shared" si="17"/>
        <v>0</v>
      </c>
      <c r="K80" s="391">
        <f t="shared" si="17"/>
        <v>0</v>
      </c>
      <c r="L80" s="391">
        <f t="shared" si="17"/>
        <v>0</v>
      </c>
      <c r="M80" s="391">
        <f t="shared" si="17"/>
        <v>0</v>
      </c>
      <c r="N80" s="391">
        <f t="shared" si="17"/>
        <v>0</v>
      </c>
    </row>
    <row r="81" spans="3:14">
      <c r="C81" s="390"/>
      <c r="D81" s="336"/>
      <c r="E81" s="336"/>
      <c r="F81" s="336"/>
      <c r="G81" s="336"/>
      <c r="H81" s="336"/>
      <c r="I81" s="336"/>
      <c r="J81" s="321"/>
      <c r="K81" s="321"/>
      <c r="L81" s="321"/>
      <c r="M81" s="321"/>
      <c r="N81" s="321"/>
    </row>
    <row r="82" spans="3:14" ht="60">
      <c r="C82" s="390"/>
      <c r="D82" s="395" t="s">
        <v>750</v>
      </c>
      <c r="E82" s="391">
        <f>E78-E80</f>
        <v>0</v>
      </c>
      <c r="F82" s="391">
        <f t="shared" ref="F82:N82" si="18">F78-F80</f>
        <v>0</v>
      </c>
      <c r="G82" s="391">
        <f t="shared" si="18"/>
        <v>0</v>
      </c>
      <c r="H82" s="391">
        <f t="shared" si="18"/>
        <v>0</v>
      </c>
      <c r="I82" s="391">
        <f t="shared" si="18"/>
        <v>0</v>
      </c>
      <c r="J82" s="391">
        <f t="shared" si="18"/>
        <v>0</v>
      </c>
      <c r="K82" s="391">
        <f t="shared" si="18"/>
        <v>0</v>
      </c>
      <c r="L82" s="391">
        <f t="shared" si="18"/>
        <v>0</v>
      </c>
      <c r="M82" s="391">
        <f t="shared" si="18"/>
        <v>0</v>
      </c>
      <c r="N82" s="391">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zoomScale="85" zoomScaleSheetLayoutView="85" workbookViewId="0">
      <selection activeCell="A62" sqref="A5:H62"/>
    </sheetView>
  </sheetViews>
  <sheetFormatPr defaultRowHeight="15"/>
  <cols>
    <col min="1" max="1" width="40.5703125" style="365" bestFit="1" customWidth="1"/>
    <col min="2" max="8" width="11" style="365" customWidth="1"/>
    <col min="9" max="9" width="8.5703125" style="365" customWidth="1"/>
    <col min="10" max="10" width="10.140625" style="365" bestFit="1" customWidth="1"/>
    <col min="11" max="11" width="9.5703125" style="365" bestFit="1" customWidth="1"/>
    <col min="12" max="16384" width="9.140625" style="365"/>
  </cols>
  <sheetData>
    <row r="2" spans="1:11" ht="18.75">
      <c r="A2" s="726" t="s">
        <v>529</v>
      </c>
      <c r="B2" s="726"/>
      <c r="C2" s="726"/>
      <c r="D2" s="726"/>
      <c r="E2" s="726"/>
      <c r="F2" s="726"/>
      <c r="G2" s="726"/>
      <c r="H2" s="726"/>
    </row>
    <row r="5" spans="1:11">
      <c r="A5" s="396" t="s">
        <v>0</v>
      </c>
      <c r="B5" s="397" t="s">
        <v>2</v>
      </c>
      <c r="C5" s="397" t="s">
        <v>3</v>
      </c>
      <c r="D5" s="397" t="s">
        <v>4</v>
      </c>
      <c r="E5" s="397" t="s">
        <v>5</v>
      </c>
      <c r="F5" s="397" t="s">
        <v>6</v>
      </c>
      <c r="G5" s="397" t="s">
        <v>164</v>
      </c>
      <c r="H5" s="397" t="s">
        <v>163</v>
      </c>
    </row>
    <row r="6" spans="1:11">
      <c r="A6" s="398" t="s">
        <v>124</v>
      </c>
      <c r="B6" s="363"/>
      <c r="C6" s="363"/>
      <c r="D6" s="363"/>
      <c r="E6" s="363"/>
      <c r="F6" s="363"/>
      <c r="G6" s="363"/>
      <c r="H6" s="363"/>
    </row>
    <row r="7" spans="1:11">
      <c r="A7" s="363"/>
      <c r="B7" s="363"/>
      <c r="C7" s="363"/>
      <c r="D7" s="363"/>
      <c r="E7" s="363"/>
      <c r="F7" s="363"/>
      <c r="G7" s="363"/>
      <c r="H7" s="363"/>
    </row>
    <row r="8" spans="1:11">
      <c r="A8" s="363" t="s">
        <v>489</v>
      </c>
      <c r="B8" s="362">
        <v>0</v>
      </c>
      <c r="C8" s="362">
        <v>0</v>
      </c>
      <c r="D8" s="362">
        <v>0</v>
      </c>
      <c r="E8" s="362">
        <v>0</v>
      </c>
      <c r="F8" s="362">
        <v>0</v>
      </c>
      <c r="G8" s="362">
        <v>0</v>
      </c>
      <c r="H8" s="362">
        <v>0</v>
      </c>
    </row>
    <row r="9" spans="1:11">
      <c r="A9" s="363" t="s">
        <v>501</v>
      </c>
      <c r="B9" s="362">
        <f>'17.Facility 6 Horti Processing '!D148</f>
        <v>0</v>
      </c>
      <c r="C9" s="362">
        <f>'17.Facility 6 Horti Processing '!E148</f>
        <v>0</v>
      </c>
      <c r="D9" s="362">
        <f>'17.Facility 6 Horti Processing '!F148</f>
        <v>0</v>
      </c>
      <c r="E9" s="362">
        <f>'17.Facility 6 Horti Processing '!G148</f>
        <v>0</v>
      </c>
      <c r="F9" s="362">
        <f>'17.Facility 6 Horti Processing '!H148</f>
        <v>0</v>
      </c>
      <c r="G9" s="362">
        <f>'17.Facility 6 Horti Processing '!I148</f>
        <v>0</v>
      </c>
      <c r="H9" s="362">
        <f>'17.Facility 6 Horti Processing '!J148</f>
        <v>0</v>
      </c>
    </row>
    <row r="10" spans="1:11">
      <c r="A10" s="363" t="s">
        <v>490</v>
      </c>
      <c r="B10" s="362">
        <f>'14. Facility 3 Warehouse'!D23</f>
        <v>0</v>
      </c>
      <c r="C10" s="362">
        <f>'14. Facility 3 Warehouse'!E23</f>
        <v>0</v>
      </c>
      <c r="D10" s="362">
        <f>'14. Facility 3 Warehouse'!F23</f>
        <v>0</v>
      </c>
      <c r="E10" s="362">
        <f>'14. Facility 3 Warehouse'!G23</f>
        <v>0</v>
      </c>
      <c r="F10" s="362">
        <f>'14. Facility 3 Warehouse'!H23</f>
        <v>0</v>
      </c>
      <c r="G10" s="362">
        <f>'14. Facility 3 Warehouse'!I23</f>
        <v>0</v>
      </c>
      <c r="H10" s="362">
        <f>'14. Facility 3 Warehouse'!J23</f>
        <v>0</v>
      </c>
    </row>
    <row r="11" spans="1:11">
      <c r="A11" s="363" t="s">
        <v>491</v>
      </c>
      <c r="B11" s="362">
        <f>'15. Facility 4 Custom Hiring'!E39</f>
        <v>0</v>
      </c>
      <c r="C11" s="362">
        <f>'15. Facility 4 Custom Hiring'!F39</f>
        <v>0</v>
      </c>
      <c r="D11" s="362">
        <f>'15. Facility 4 Custom Hiring'!G39</f>
        <v>0</v>
      </c>
      <c r="E11" s="362">
        <f>'15. Facility 4 Custom Hiring'!H39</f>
        <v>0</v>
      </c>
      <c r="F11" s="362">
        <f>'15. Facility 4 Custom Hiring'!I39</f>
        <v>0</v>
      </c>
      <c r="G11" s="362">
        <f>'15. Facility 4 Custom Hiring'!J39</f>
        <v>0</v>
      </c>
      <c r="H11" s="362">
        <f>'15. Facility 4 Custom Hiring'!K39</f>
        <v>0</v>
      </c>
    </row>
    <row r="12" spans="1:11">
      <c r="A12" s="363" t="s">
        <v>488</v>
      </c>
      <c r="B12" s="362">
        <v>0</v>
      </c>
      <c r="C12" s="362">
        <v>0</v>
      </c>
      <c r="D12" s="362">
        <v>0</v>
      </c>
      <c r="E12" s="362">
        <v>0</v>
      </c>
      <c r="F12" s="362">
        <v>0</v>
      </c>
      <c r="G12" s="362">
        <v>0</v>
      </c>
      <c r="H12" s="362">
        <v>0</v>
      </c>
      <c r="K12" s="363" t="s">
        <v>501</v>
      </c>
    </row>
    <row r="13" spans="1:11">
      <c r="A13" s="363" t="s">
        <v>964</v>
      </c>
      <c r="B13" s="362">
        <f>+'13.Facility 2 Grain Processing-'!D87-'13.Facility 2 Grain Processing-'!D81</f>
        <v>622.62000000000012</v>
      </c>
      <c r="C13" s="362">
        <f>+'13.Facility 2 Grain Processing-'!E87-'13.Facility 2 Grain Processing-'!E81</f>
        <v>720.67049999999995</v>
      </c>
      <c r="D13" s="362">
        <f>+'13.Facility 2 Grain Processing-'!F87-'13.Facility 2 Grain Processing-'!F81</f>
        <v>825.61675000000002</v>
      </c>
      <c r="E13" s="362">
        <f>+'13.Facility 2 Grain Processing-'!G87-'13.Facility 2 Grain Processing-'!G81</f>
        <v>939.42441666666673</v>
      </c>
      <c r="F13" s="362">
        <f>+'13.Facility 2 Grain Processing-'!H87-'13.Facility 2 Grain Processing-'!H81</f>
        <v>1062.43235</v>
      </c>
      <c r="G13" s="362">
        <f>+'13.Facility 2 Grain Processing-'!I87-'13.Facility 2 Grain Processing-'!I81</f>
        <v>1194.0146</v>
      </c>
      <c r="H13" s="362">
        <f>+'13.Facility 2 Grain Processing-'!J87-'13.Facility 2 Grain Processing-'!J81</f>
        <v>1337.6007333333332</v>
      </c>
    </row>
    <row r="14" spans="1:11">
      <c r="A14" s="363" t="s">
        <v>751</v>
      </c>
      <c r="B14" s="362">
        <f>+'13.Facility 2 Grain Processing-'!D81</f>
        <v>32.4</v>
      </c>
      <c r="C14" s="362">
        <f>+'13.Facility 2 Grain Processing-'!E81</f>
        <v>37.422000000000004</v>
      </c>
      <c r="D14" s="362">
        <f>+'13.Facility 2 Grain Processing-'!F81</f>
        <v>42.865200000000009</v>
      </c>
      <c r="E14" s="362">
        <f>+'13.Facility 2 Grain Processing-'!G81</f>
        <v>48.759165000000017</v>
      </c>
      <c r="F14" s="362">
        <f>+'13.Facility 2 Grain Processing-'!H81</f>
        <v>55.135363500000025</v>
      </c>
      <c r="G14" s="362">
        <f>+'13.Facility 2 Grain Processing-'!I81</f>
        <v>62.027283937500044</v>
      </c>
      <c r="H14" s="362">
        <f>+'13.Facility 2 Grain Processing-'!J81</f>
        <v>69.470558010000047</v>
      </c>
    </row>
    <row r="15" spans="1:11">
      <c r="A15" s="363" t="s">
        <v>752</v>
      </c>
      <c r="B15" s="362">
        <f>+'13.Facility 2 Grain Processing-'!D83</f>
        <v>0</v>
      </c>
      <c r="C15" s="362">
        <f>+'13.Facility 2 Grain Processing-'!E83</f>
        <v>0</v>
      </c>
      <c r="D15" s="362">
        <f>+'13.Facility 2 Grain Processing-'!F83</f>
        <v>0</v>
      </c>
      <c r="E15" s="362">
        <f>+'13.Facility 2 Grain Processing-'!G83</f>
        <v>0</v>
      </c>
      <c r="F15" s="362">
        <f>+'13.Facility 2 Grain Processing-'!H83</f>
        <v>0</v>
      </c>
      <c r="G15" s="362">
        <f>+'13.Facility 2 Grain Processing-'!I83</f>
        <v>0</v>
      </c>
      <c r="H15" s="362">
        <f>+'13.Facility 2 Grain Processing-'!J83</f>
        <v>0</v>
      </c>
    </row>
    <row r="16" spans="1:11">
      <c r="A16" s="363"/>
      <c r="B16" s="362"/>
      <c r="C16" s="362"/>
      <c r="D16" s="362"/>
      <c r="E16" s="362"/>
      <c r="F16" s="362"/>
      <c r="G16" s="362"/>
      <c r="H16" s="362"/>
    </row>
    <row r="17" spans="1:8">
      <c r="A17" s="363" t="s">
        <v>815</v>
      </c>
      <c r="B17" s="362">
        <f>+'13.Facility 2 Grain Processing-'!C226</f>
        <v>0</v>
      </c>
      <c r="C17" s="362">
        <f>+'13.Facility 2 Grain Processing-'!D226</f>
        <v>26.439999999999998</v>
      </c>
      <c r="D17" s="362">
        <f>+'13.Facility 2 Grain Processing-'!E226</f>
        <v>58.299499999999995</v>
      </c>
      <c r="E17" s="362">
        <f>+'13.Facility 2 Grain Processing-'!F226</f>
        <v>96.194774999999993</v>
      </c>
      <c r="F17" s="362">
        <f>+'13.Facility 2 Grain Processing-'!G226</f>
        <v>140.80890833333333</v>
      </c>
      <c r="G17" s="362">
        <f>+'13.Facility 2 Grain Processing-'!H226</f>
        <v>192.85560000000001</v>
      </c>
      <c r="H17" s="362">
        <f>+'13.Facility 2 Grain Processing-'!I226</f>
        <v>253.101</v>
      </c>
    </row>
    <row r="18" spans="1:8">
      <c r="A18" s="363" t="s">
        <v>816</v>
      </c>
      <c r="B18" s="362">
        <f>+'13.Facility 2 Grain Processing-'!C227</f>
        <v>26.439999999999998</v>
      </c>
      <c r="C18" s="362">
        <f>+'13.Facility 2 Grain Processing-'!D227</f>
        <v>58.299499999999995</v>
      </c>
      <c r="D18" s="362">
        <f>+'13.Facility 2 Grain Processing-'!E227</f>
        <v>96.194774999999993</v>
      </c>
      <c r="E18" s="362">
        <f>+'13.Facility 2 Grain Processing-'!F227</f>
        <v>140.80890833333333</v>
      </c>
      <c r="F18" s="362">
        <f>+'13.Facility 2 Grain Processing-'!G227</f>
        <v>192.85560000000001</v>
      </c>
      <c r="G18" s="362">
        <f>+'13.Facility 2 Grain Processing-'!H227</f>
        <v>253.101</v>
      </c>
      <c r="H18" s="362">
        <f>+'13.Facility 2 Grain Processing-'!I227</f>
        <v>322.45396666666664</v>
      </c>
    </row>
    <row r="19" spans="1:8">
      <c r="A19" s="398" t="s">
        <v>138</v>
      </c>
      <c r="B19" s="399">
        <f>+SUM(B8:B15)+B18-B17</f>
        <v>681.46</v>
      </c>
      <c r="C19" s="399">
        <f t="shared" ref="C19:H19" si="0">+SUM(C8:C15)+C18-C17</f>
        <v>789.952</v>
      </c>
      <c r="D19" s="399">
        <f t="shared" si="0"/>
        <v>906.37722500000007</v>
      </c>
      <c r="E19" s="399">
        <f t="shared" si="0"/>
        <v>1032.7977150000002</v>
      </c>
      <c r="F19" s="399">
        <f t="shared" si="0"/>
        <v>1169.6144051666668</v>
      </c>
      <c r="G19" s="399">
        <f t="shared" si="0"/>
        <v>1316.2872839374998</v>
      </c>
      <c r="H19" s="399">
        <f t="shared" si="0"/>
        <v>1476.4242580099999</v>
      </c>
    </row>
    <row r="20" spans="1:8">
      <c r="A20" s="363"/>
      <c r="B20" s="362"/>
      <c r="C20" s="362"/>
      <c r="D20" s="362"/>
      <c r="E20" s="362"/>
      <c r="F20" s="362"/>
      <c r="G20" s="362"/>
      <c r="H20" s="362"/>
    </row>
    <row r="21" spans="1:8">
      <c r="A21" s="398" t="s">
        <v>302</v>
      </c>
      <c r="B21" s="362"/>
      <c r="C21" s="362"/>
      <c r="D21" s="362"/>
      <c r="E21" s="362"/>
      <c r="F21" s="362"/>
      <c r="G21" s="362"/>
      <c r="H21" s="362"/>
    </row>
    <row r="22" spans="1:8">
      <c r="A22" s="363" t="str">
        <f t="shared" ref="A22:A27" si="1">A8</f>
        <v>Faclitiy 1 - Cleaning &amp; Grading</v>
      </c>
      <c r="B22" s="362">
        <v>0</v>
      </c>
      <c r="C22" s="362">
        <v>0</v>
      </c>
      <c r="D22" s="362">
        <v>0</v>
      </c>
      <c r="E22" s="362">
        <v>0</v>
      </c>
      <c r="F22" s="362">
        <v>0</v>
      </c>
      <c r="G22" s="362">
        <v>0</v>
      </c>
      <c r="H22" s="362">
        <v>0</v>
      </c>
    </row>
    <row r="23" spans="1:8">
      <c r="A23" s="363" t="str">
        <f t="shared" si="1"/>
        <v>Facility 6 - Processing Unit - Horti Commodity</v>
      </c>
      <c r="B23" s="362">
        <f>'17.Facility 6 Horti Processing '!D169</f>
        <v>0</v>
      </c>
      <c r="C23" s="362">
        <f>'17.Facility 6 Horti Processing '!E169</f>
        <v>0</v>
      </c>
      <c r="D23" s="362">
        <f>'17.Facility 6 Horti Processing '!F169</f>
        <v>0</v>
      </c>
      <c r="E23" s="362">
        <f>'17.Facility 6 Horti Processing '!G169</f>
        <v>0</v>
      </c>
      <c r="F23" s="362">
        <f>'17.Facility 6 Horti Processing '!H169</f>
        <v>0</v>
      </c>
      <c r="G23" s="362">
        <f>'17.Facility 6 Horti Processing '!I169</f>
        <v>0</v>
      </c>
      <c r="H23" s="362">
        <f>'17.Facility 6 Horti Processing '!J169</f>
        <v>0</v>
      </c>
    </row>
    <row r="24" spans="1:8">
      <c r="A24" s="363" t="str">
        <f t="shared" si="1"/>
        <v>Faclitiy 3 - Warehouse</v>
      </c>
      <c r="B24" s="362">
        <f>'14. Facility 3 Warehouse'!D34</f>
        <v>0</v>
      </c>
      <c r="C24" s="362">
        <f>'14. Facility 3 Warehouse'!E34</f>
        <v>0</v>
      </c>
      <c r="D24" s="362">
        <f>'14. Facility 3 Warehouse'!F34</f>
        <v>0</v>
      </c>
      <c r="E24" s="362">
        <f>'14. Facility 3 Warehouse'!G34</f>
        <v>0</v>
      </c>
      <c r="F24" s="362">
        <f>'14. Facility 3 Warehouse'!H34</f>
        <v>0</v>
      </c>
      <c r="G24" s="362">
        <f>'14. Facility 3 Warehouse'!I34</f>
        <v>0</v>
      </c>
      <c r="H24" s="362">
        <f>'14. Facility 3 Warehouse'!J34</f>
        <v>0</v>
      </c>
    </row>
    <row r="25" spans="1:8">
      <c r="A25" s="363" t="str">
        <f t="shared" si="1"/>
        <v xml:space="preserve">Faclitiy 4 - Custom Hiring </v>
      </c>
      <c r="B25" s="362">
        <f>'15. Facility 4 Custom Hiring'!E49</f>
        <v>0</v>
      </c>
      <c r="C25" s="362">
        <f>'15. Facility 4 Custom Hiring'!F49</f>
        <v>0</v>
      </c>
      <c r="D25" s="362">
        <f>'15. Facility 4 Custom Hiring'!G49</f>
        <v>0</v>
      </c>
      <c r="E25" s="362">
        <f>'15. Facility 4 Custom Hiring'!H49</f>
        <v>0</v>
      </c>
      <c r="F25" s="362">
        <f>'15. Facility 4 Custom Hiring'!I49</f>
        <v>0</v>
      </c>
      <c r="G25" s="362">
        <f>'15. Facility 4 Custom Hiring'!J49</f>
        <v>0</v>
      </c>
      <c r="H25" s="362">
        <f>'15. Facility 4 Custom Hiring'!K49</f>
        <v>0</v>
      </c>
    </row>
    <row r="26" spans="1:8">
      <c r="A26" s="363" t="str">
        <f t="shared" si="1"/>
        <v>Faclitiy 5 - Agri Input Centre</v>
      </c>
      <c r="B26" s="362">
        <v>0</v>
      </c>
      <c r="C26" s="362">
        <v>0</v>
      </c>
      <c r="D26" s="362">
        <v>0</v>
      </c>
      <c r="E26" s="362">
        <v>0</v>
      </c>
      <c r="F26" s="362">
        <v>0</v>
      </c>
      <c r="G26" s="362">
        <v>0</v>
      </c>
      <c r="H26" s="362">
        <v>0</v>
      </c>
    </row>
    <row r="27" spans="1:8">
      <c r="A27" s="363" t="str">
        <f t="shared" si="1"/>
        <v>Faclitiy 2 - Processing Unit- Rice Mill</v>
      </c>
      <c r="B27" s="362">
        <f>'13.Facility 2 Grain Processing-'!D109</f>
        <v>593.84850000000006</v>
      </c>
      <c r="C27" s="362">
        <f>'13.Facility 2 Grain Processing-'!E109</f>
        <v>684.38335000000006</v>
      </c>
      <c r="D27" s="362">
        <f>'13.Facility 2 Grain Processing-'!F109</f>
        <v>782.83820000000003</v>
      </c>
      <c r="E27" s="362">
        <f>'13.Facility 2 Grain Processing-'!G109</f>
        <v>889.20305000000008</v>
      </c>
      <c r="F27" s="362">
        <f>'13.Facility 2 Grain Processing-'!H109</f>
        <v>1003.9078999999998</v>
      </c>
      <c r="G27" s="362">
        <f>'13.Facility 2 Grain Processing-'!I109</f>
        <v>1127.7387499999998</v>
      </c>
      <c r="H27" s="362">
        <f>'13.Facility 2 Grain Processing-'!J109</f>
        <v>1261.9376000000002</v>
      </c>
    </row>
    <row r="28" spans="1:8">
      <c r="A28" s="363"/>
      <c r="B28" s="362"/>
      <c r="C28" s="362"/>
      <c r="D28" s="362"/>
      <c r="E28" s="362"/>
      <c r="F28" s="362"/>
      <c r="G28" s="362"/>
      <c r="H28" s="362"/>
    </row>
    <row r="29" spans="1:8">
      <c r="A29" s="398" t="s">
        <v>309</v>
      </c>
      <c r="B29" s="399">
        <f>SUM(B22:B28)</f>
        <v>593.84850000000006</v>
      </c>
      <c r="C29" s="399">
        <f t="shared" ref="C29:H29" si="2">SUM(C22:C28)</f>
        <v>684.38335000000006</v>
      </c>
      <c r="D29" s="399">
        <f t="shared" si="2"/>
        <v>782.83820000000003</v>
      </c>
      <c r="E29" s="399">
        <f t="shared" si="2"/>
        <v>889.20305000000008</v>
      </c>
      <c r="F29" s="399">
        <f t="shared" si="2"/>
        <v>1003.9078999999998</v>
      </c>
      <c r="G29" s="399">
        <f t="shared" si="2"/>
        <v>1127.7387499999998</v>
      </c>
      <c r="H29" s="399">
        <f t="shared" si="2"/>
        <v>1261.9376000000002</v>
      </c>
    </row>
    <row r="30" spans="1:8">
      <c r="A30" s="363"/>
      <c r="B30" s="362"/>
      <c r="C30" s="362"/>
      <c r="D30" s="362"/>
      <c r="E30" s="362"/>
      <c r="F30" s="362"/>
      <c r="G30" s="362"/>
      <c r="H30" s="362"/>
    </row>
    <row r="31" spans="1:8">
      <c r="A31" s="398" t="s">
        <v>300</v>
      </c>
      <c r="B31" s="362"/>
      <c r="C31" s="362"/>
      <c r="D31" s="362"/>
      <c r="E31" s="362"/>
      <c r="F31" s="362"/>
      <c r="G31" s="362"/>
      <c r="H31" s="362"/>
    </row>
    <row r="32" spans="1:8">
      <c r="A32" s="363" t="str">
        <f t="shared" ref="A32:A37" si="3">A22</f>
        <v>Faclitiy 1 - Cleaning &amp; Grading</v>
      </c>
      <c r="B32" s="362">
        <f>'12.Facility 1 - Trading'!D301</f>
        <v>0</v>
      </c>
      <c r="C32" s="362">
        <f>'12.Facility 1 - Trading'!E301</f>
        <v>0</v>
      </c>
      <c r="D32" s="362">
        <f>'12.Facility 1 - Trading'!F301</f>
        <v>0</v>
      </c>
      <c r="E32" s="362">
        <f>'12.Facility 1 - Trading'!G301</f>
        <v>0</v>
      </c>
      <c r="F32" s="362">
        <f>'12.Facility 1 - Trading'!H301</f>
        <v>0</v>
      </c>
      <c r="G32" s="362">
        <f>'12.Facility 1 - Trading'!I301</f>
        <v>0</v>
      </c>
      <c r="H32" s="362">
        <f>'12.Facility 1 - Trading'!J301</f>
        <v>0</v>
      </c>
    </row>
    <row r="33" spans="1:8">
      <c r="A33" s="363" t="str">
        <f t="shared" si="3"/>
        <v>Facility 6 - Processing Unit - Horti Commodity</v>
      </c>
      <c r="B33" s="362">
        <f>'17.Facility 6 Horti Processing '!D177</f>
        <v>0</v>
      </c>
      <c r="C33" s="362">
        <f>'17.Facility 6 Horti Processing '!E177</f>
        <v>0</v>
      </c>
      <c r="D33" s="362">
        <f>'17.Facility 6 Horti Processing '!F177</f>
        <v>0</v>
      </c>
      <c r="E33" s="362">
        <f>'17.Facility 6 Horti Processing '!G177</f>
        <v>0</v>
      </c>
      <c r="F33" s="362">
        <f>'17.Facility 6 Horti Processing '!H177</f>
        <v>0</v>
      </c>
      <c r="G33" s="362">
        <f>'17.Facility 6 Horti Processing '!I177</f>
        <v>0</v>
      </c>
      <c r="H33" s="362">
        <f>'17.Facility 6 Horti Processing '!J177</f>
        <v>0</v>
      </c>
    </row>
    <row r="34" spans="1:8">
      <c r="A34" s="363" t="str">
        <f t="shared" si="3"/>
        <v>Faclitiy 3 - Warehouse</v>
      </c>
      <c r="B34" s="362">
        <f>'14. Facility 3 Warehouse'!D43</f>
        <v>0</v>
      </c>
      <c r="C34" s="362">
        <f>'14. Facility 3 Warehouse'!E43</f>
        <v>0</v>
      </c>
      <c r="D34" s="362">
        <f>'14. Facility 3 Warehouse'!F43</f>
        <v>0</v>
      </c>
      <c r="E34" s="362">
        <f>'14. Facility 3 Warehouse'!G43</f>
        <v>0</v>
      </c>
      <c r="F34" s="362">
        <f>'14. Facility 3 Warehouse'!H43</f>
        <v>0</v>
      </c>
      <c r="G34" s="362">
        <f>'14. Facility 3 Warehouse'!I43</f>
        <v>0</v>
      </c>
      <c r="H34" s="362">
        <f>'14. Facility 3 Warehouse'!J43</f>
        <v>0</v>
      </c>
    </row>
    <row r="35" spans="1:8">
      <c r="A35" s="363" t="str">
        <f t="shared" si="3"/>
        <v xml:space="preserve">Faclitiy 4 - Custom Hiring </v>
      </c>
      <c r="B35" s="362">
        <f>'15. Facility 4 Custom Hiring'!E56</f>
        <v>0</v>
      </c>
      <c r="C35" s="362">
        <f>'15. Facility 4 Custom Hiring'!F56</f>
        <v>0</v>
      </c>
      <c r="D35" s="362">
        <f>'15. Facility 4 Custom Hiring'!G56</f>
        <v>0</v>
      </c>
      <c r="E35" s="362">
        <f>'15. Facility 4 Custom Hiring'!H56</f>
        <v>0</v>
      </c>
      <c r="F35" s="362">
        <f>'15. Facility 4 Custom Hiring'!I56</f>
        <v>0</v>
      </c>
      <c r="G35" s="362">
        <f>'15. Facility 4 Custom Hiring'!J56</f>
        <v>0</v>
      </c>
      <c r="H35" s="362">
        <f>'15. Facility 4 Custom Hiring'!K56</f>
        <v>0</v>
      </c>
    </row>
    <row r="36" spans="1:8">
      <c r="A36" s="363" t="str">
        <f t="shared" si="3"/>
        <v>Faclitiy 5 - Agri Input Centre</v>
      </c>
      <c r="B36" s="362">
        <f>'16.Facility 5 Agri Input'!D273</f>
        <v>0</v>
      </c>
      <c r="C36" s="362">
        <f>'16.Facility 5 Agri Input'!E273</f>
        <v>0</v>
      </c>
      <c r="D36" s="362">
        <f>'16.Facility 5 Agri Input'!F273</f>
        <v>0</v>
      </c>
      <c r="E36" s="362">
        <f>'16.Facility 5 Agri Input'!G273</f>
        <v>0</v>
      </c>
      <c r="F36" s="362">
        <f>'16.Facility 5 Agri Input'!H273</f>
        <v>0</v>
      </c>
      <c r="G36" s="362">
        <f>'16.Facility 5 Agri Input'!I273</f>
        <v>0</v>
      </c>
      <c r="H36" s="362">
        <f>'16.Facility 5 Agri Input'!J273</f>
        <v>0</v>
      </c>
    </row>
    <row r="37" spans="1:8">
      <c r="A37" s="363" t="str">
        <f t="shared" si="3"/>
        <v>Faclitiy 2 - Processing Unit- Rice Mill</v>
      </c>
      <c r="B37" s="362">
        <f>'13.Facility 2 Grain Processing-'!D126</f>
        <v>14.33915</v>
      </c>
      <c r="C37" s="362">
        <f>'13.Facility 2 Grain Processing-'!E126</f>
        <v>15.0561075</v>
      </c>
      <c r="D37" s="362">
        <f>'13.Facility 2 Grain Processing-'!F126</f>
        <v>15.839121375000001</v>
      </c>
      <c r="E37" s="362">
        <f>'13.Facility 2 Grain Processing-'!G126</f>
        <v>16.699352429812503</v>
      </c>
      <c r="F37" s="362">
        <f>'13.Facility 2 Grain Processing-'!H126</f>
        <v>17.65586327516154</v>
      </c>
      <c r="G37" s="362">
        <f>'13.Facility 2 Grain Processing-'!I126</f>
        <v>18.740643112989307</v>
      </c>
      <c r="H37" s="362">
        <f>'13.Facility 2 Grain Processing-'!J126</f>
        <v>20.008167493745574</v>
      </c>
    </row>
    <row r="38" spans="1:8">
      <c r="A38" s="363"/>
      <c r="B38" s="362"/>
      <c r="C38" s="362"/>
      <c r="D38" s="362"/>
      <c r="E38" s="362"/>
      <c r="F38" s="362"/>
      <c r="G38" s="362"/>
      <c r="H38" s="362"/>
    </row>
    <row r="39" spans="1:8">
      <c r="A39" s="363" t="s">
        <v>9</v>
      </c>
      <c r="B39" s="362">
        <f>+'3.Other Exp &amp; Taxes'!C18</f>
        <v>8.3759999999999994</v>
      </c>
      <c r="C39" s="362">
        <f>+'3.Other Exp &amp; Taxes'!D18</f>
        <v>8.7933000000000003</v>
      </c>
      <c r="D39" s="362">
        <f>+'3.Other Exp &amp; Taxes'!E18</f>
        <v>9.231465</v>
      </c>
      <c r="E39" s="362">
        <f>+'3.Other Exp &amp; Taxes'!F18</f>
        <v>9.6915382500000025</v>
      </c>
      <c r="F39" s="362">
        <f>+'3.Other Exp &amp; Taxes'!G18</f>
        <v>10.174615162500002</v>
      </c>
      <c r="G39" s="362">
        <f>+'3.Other Exp &amp; Taxes'!H18</f>
        <v>10.681845920625005</v>
      </c>
      <c r="H39" s="362">
        <f>+'3.Other Exp &amp; Taxes'!I18</f>
        <v>11.214438216656253</v>
      </c>
    </row>
    <row r="40" spans="1:8">
      <c r="A40" s="398" t="s">
        <v>313</v>
      </c>
      <c r="B40" s="399">
        <f t="shared" ref="B40:H40" si="4">SUM(B32:B39)</f>
        <v>22.715150000000001</v>
      </c>
      <c r="C40" s="399">
        <f t="shared" si="4"/>
        <v>23.849407499999998</v>
      </c>
      <c r="D40" s="399">
        <f t="shared" si="4"/>
        <v>25.070586375000001</v>
      </c>
      <c r="E40" s="399">
        <f t="shared" si="4"/>
        <v>26.390890679812507</v>
      </c>
      <c r="F40" s="399">
        <f t="shared" si="4"/>
        <v>27.83047843766154</v>
      </c>
      <c r="G40" s="399">
        <f t="shared" si="4"/>
        <v>29.422489033614312</v>
      </c>
      <c r="H40" s="399">
        <f t="shared" si="4"/>
        <v>31.22260571040183</v>
      </c>
    </row>
    <row r="41" spans="1:8">
      <c r="A41" s="363"/>
      <c r="B41" s="362"/>
      <c r="C41" s="362"/>
      <c r="D41" s="362"/>
      <c r="E41" s="362"/>
      <c r="F41" s="362"/>
      <c r="G41" s="362"/>
      <c r="H41" s="362"/>
    </row>
    <row r="42" spans="1:8">
      <c r="A42" s="398" t="s">
        <v>317</v>
      </c>
      <c r="B42" s="399">
        <f t="shared" ref="B42:H42" si="5">B29+B40</f>
        <v>616.56365000000005</v>
      </c>
      <c r="C42" s="399">
        <f t="shared" si="5"/>
        <v>708.23275750000005</v>
      </c>
      <c r="D42" s="399">
        <f t="shared" si="5"/>
        <v>807.90878637499998</v>
      </c>
      <c r="E42" s="399">
        <f t="shared" si="5"/>
        <v>915.59394067981259</v>
      </c>
      <c r="F42" s="399">
        <f t="shared" si="5"/>
        <v>1031.7383784376614</v>
      </c>
      <c r="G42" s="399">
        <f t="shared" si="5"/>
        <v>1157.161239033614</v>
      </c>
      <c r="H42" s="399">
        <f t="shared" si="5"/>
        <v>1293.1602057104021</v>
      </c>
    </row>
    <row r="43" spans="1:8">
      <c r="A43" s="363"/>
      <c r="B43" s="362"/>
      <c r="C43" s="362"/>
      <c r="D43" s="362"/>
      <c r="E43" s="362"/>
      <c r="F43" s="362"/>
      <c r="G43" s="362"/>
      <c r="H43" s="362"/>
    </row>
    <row r="44" spans="1:8">
      <c r="A44" s="398" t="s">
        <v>132</v>
      </c>
      <c r="B44" s="399">
        <f t="shared" ref="B44:H44" si="6">B19-B42</f>
        <v>64.896349999999984</v>
      </c>
      <c r="C44" s="399">
        <f t="shared" si="6"/>
        <v>81.71924249999995</v>
      </c>
      <c r="D44" s="399">
        <f t="shared" si="6"/>
        <v>98.46843862500009</v>
      </c>
      <c r="E44" s="399">
        <f t="shared" si="6"/>
        <v>117.20377432018756</v>
      </c>
      <c r="F44" s="399">
        <f t="shared" si="6"/>
        <v>137.87602672900539</v>
      </c>
      <c r="G44" s="399">
        <f t="shared" si="6"/>
        <v>159.12604490388571</v>
      </c>
      <c r="H44" s="399">
        <f t="shared" si="6"/>
        <v>183.26405229959778</v>
      </c>
    </row>
    <row r="45" spans="1:8">
      <c r="A45" s="363"/>
      <c r="B45" s="362"/>
      <c r="C45" s="362"/>
      <c r="D45" s="362"/>
      <c r="E45" s="362"/>
      <c r="F45" s="362"/>
      <c r="G45" s="362"/>
      <c r="H45" s="362"/>
    </row>
    <row r="46" spans="1:8">
      <c r="A46" s="400" t="s">
        <v>16</v>
      </c>
      <c r="B46" s="362">
        <f>'3.Other Exp &amp; Taxes'!C58</f>
        <v>14.686757</v>
      </c>
      <c r="C46" s="362">
        <f>'3.Other Exp &amp; Taxes'!D58</f>
        <v>14.686757</v>
      </c>
      <c r="D46" s="362">
        <f>'3.Other Exp &amp; Taxes'!E58</f>
        <v>14.686757</v>
      </c>
      <c r="E46" s="362">
        <f>'3.Other Exp &amp; Taxes'!F58</f>
        <v>14.686757</v>
      </c>
      <c r="F46" s="362">
        <f>'3.Other Exp &amp; Taxes'!G58</f>
        <v>14.686757</v>
      </c>
      <c r="G46" s="362">
        <f>'3.Other Exp &amp; Taxes'!H58</f>
        <v>14.686757</v>
      </c>
      <c r="H46" s="362">
        <f>'3.Other Exp &amp; Taxes'!I58</f>
        <v>14.686757</v>
      </c>
    </row>
    <row r="47" spans="1:8">
      <c r="A47" s="400" t="s">
        <v>133</v>
      </c>
      <c r="B47" s="362">
        <f>'3.Other Exp &amp; Taxes'!C78</f>
        <v>2.2815000000000003</v>
      </c>
      <c r="C47" s="362">
        <f>'3.Other Exp &amp; Taxes'!D78</f>
        <v>2.2815000000000003</v>
      </c>
      <c r="D47" s="362">
        <f>'3.Other Exp &amp; Taxes'!E78</f>
        <v>2.2815000000000003</v>
      </c>
      <c r="E47" s="362">
        <f>'3.Other Exp &amp; Taxes'!F78</f>
        <v>2.2815000000000003</v>
      </c>
      <c r="F47" s="362">
        <f>'3.Other Exp &amp; Taxes'!G78</f>
        <v>2.2815000000000003</v>
      </c>
      <c r="G47" s="362">
        <f>'3.Other Exp &amp; Taxes'!H78</f>
        <v>2.2815000000000003</v>
      </c>
      <c r="H47" s="362">
        <f>'3.Other Exp &amp; Taxes'!I78</f>
        <v>2.2815000000000003</v>
      </c>
    </row>
    <row r="48" spans="1:8">
      <c r="A48" s="363"/>
      <c r="B48" s="362"/>
      <c r="C48" s="362"/>
      <c r="D48" s="362"/>
      <c r="E48" s="362"/>
      <c r="F48" s="362"/>
      <c r="G48" s="362"/>
      <c r="H48" s="362"/>
    </row>
    <row r="49" spans="1:9">
      <c r="A49" s="398" t="s">
        <v>134</v>
      </c>
      <c r="B49" s="399">
        <f>B44-B46-B47</f>
        <v>47.928092999999983</v>
      </c>
      <c r="C49" s="399">
        <f t="shared" ref="C49:H49" si="7">C44-C46-C47</f>
        <v>64.750985499999956</v>
      </c>
      <c r="D49" s="399">
        <f t="shared" si="7"/>
        <v>81.500181625000096</v>
      </c>
      <c r="E49" s="399">
        <f t="shared" si="7"/>
        <v>100.23551732018757</v>
      </c>
      <c r="F49" s="399">
        <f t="shared" si="7"/>
        <v>120.90776972900539</v>
      </c>
      <c r="G49" s="399">
        <f t="shared" si="7"/>
        <v>142.15778790388572</v>
      </c>
      <c r="H49" s="399">
        <f t="shared" si="7"/>
        <v>166.29579529959778</v>
      </c>
    </row>
    <row r="50" spans="1:9">
      <c r="A50" s="363"/>
      <c r="B50" s="362"/>
      <c r="C50" s="362"/>
      <c r="D50" s="362"/>
      <c r="E50" s="362"/>
      <c r="F50" s="362"/>
      <c r="G50" s="362"/>
      <c r="H50" s="362"/>
    </row>
    <row r="51" spans="1:9">
      <c r="A51" s="363" t="s">
        <v>23</v>
      </c>
      <c r="B51" s="362">
        <f>+SUM('4.TL repayment sch'!D10:D21)</f>
        <v>5.8817841534088577</v>
      </c>
      <c r="C51" s="362">
        <f>+SUM('4.TL repayment sch'!D22:D33)</f>
        <v>4.5615640832612856</v>
      </c>
      <c r="D51" s="362">
        <f>+SUM('4.TL repayment sch'!D34:D45)</f>
        <v>2.8870306967692487</v>
      </c>
      <c r="E51" s="362">
        <f>+SUM('4.TL repayment sch'!D46:D57)</f>
        <v>1.0554145282439082</v>
      </c>
      <c r="F51" s="362">
        <f>+SUM('4.TL repayment sch'!D58:D69)</f>
        <v>2.3980817331903381E-14</v>
      </c>
      <c r="G51" s="362">
        <f>+SUM('4.TL repayment sch'!D70:D81)</f>
        <v>2.3980817331903381E-14</v>
      </c>
      <c r="H51" s="362">
        <f>+SUM('4.TL repayment sch'!D82:D93)</f>
        <v>2.3980817331903381E-14</v>
      </c>
    </row>
    <row r="52" spans="1:9">
      <c r="A52" s="363" t="s">
        <v>820</v>
      </c>
      <c r="B52" s="362">
        <f>+'5.Closing Stock &amp; W Capital'!E56*9%</f>
        <v>1.3134061810787676</v>
      </c>
      <c r="C52" s="362">
        <f>+'5.Closing Stock &amp; W Capital'!F56*9%</f>
        <v>3.4104207561857862</v>
      </c>
      <c r="D52" s="362">
        <f>+'5.Closing Stock &amp; W Capital'!G56*9%</f>
        <v>5.8487689028392555</v>
      </c>
      <c r="E52" s="362">
        <f>+'5.Closing Stock &amp; W Capital'!H56*9%</f>
        <v>8.7316509722034521</v>
      </c>
      <c r="F52" s="362">
        <f>+'5.Closing Stock &amp; W Capital'!I56*9%</f>
        <v>12.106079246562127</v>
      </c>
      <c r="G52" s="362">
        <f>+'5.Closing Stock &amp; W Capital'!J56*9%</f>
        <v>16.017217395684206</v>
      </c>
      <c r="H52" s="362">
        <f>+'5.Closing Stock &amp; W Capital'!K56*9%</f>
        <v>20.531952875929669</v>
      </c>
    </row>
    <row r="53" spans="1:9">
      <c r="A53" s="363"/>
      <c r="B53" s="362"/>
      <c r="C53" s="362"/>
      <c r="D53" s="362"/>
      <c r="E53" s="362"/>
      <c r="F53" s="362"/>
      <c r="G53" s="362"/>
      <c r="H53" s="362"/>
    </row>
    <row r="54" spans="1:9">
      <c r="A54" s="363" t="s">
        <v>24</v>
      </c>
      <c r="B54" s="362">
        <f>B49-B51-B52</f>
        <v>40.732902665512356</v>
      </c>
      <c r="C54" s="362">
        <f t="shared" ref="C54:H54" si="8">C49-C51-C52</f>
        <v>56.779000660552882</v>
      </c>
      <c r="D54" s="362">
        <f t="shared" si="8"/>
        <v>72.764382025391598</v>
      </c>
      <c r="E54" s="362">
        <f t="shared" si="8"/>
        <v>90.4484518197402</v>
      </c>
      <c r="F54" s="362">
        <f t="shared" si="8"/>
        <v>108.80169048244323</v>
      </c>
      <c r="G54" s="362">
        <f t="shared" si="8"/>
        <v>126.14057050820148</v>
      </c>
      <c r="H54" s="362">
        <f t="shared" si="8"/>
        <v>145.76384242366808</v>
      </c>
    </row>
    <row r="55" spans="1:9">
      <c r="A55" s="363" t="s">
        <v>25</v>
      </c>
      <c r="B55" s="362">
        <f>'3.Other Exp &amp; Taxes'!B91</f>
        <v>4.2279015130332116</v>
      </c>
      <c r="C55" s="362">
        <f>'3.Other Exp &amp; Taxes'!C91</f>
        <v>9.6994904917437488</v>
      </c>
      <c r="D55" s="362">
        <f>'3.Other Exp &amp; Taxes'!D91</f>
        <v>14.983110421601816</v>
      </c>
      <c r="E55" s="362">
        <f>'3.Other Exp &amp; Taxes'!E91</f>
        <v>20.559758246882453</v>
      </c>
      <c r="F55" s="362">
        <f>'3.Other Exp &amp; Taxes'!F91</f>
        <v>26.182005344122739</v>
      </c>
      <c r="G55" s="362">
        <f>'3.Other Exp &amp; Taxes'!G91</f>
        <v>31.42954887521676</v>
      </c>
      <c r="H55" s="362">
        <f>'3.Other Exp &amp; Taxes'!H91</f>
        <v>37.175050481555417</v>
      </c>
    </row>
    <row r="56" spans="1:9">
      <c r="A56" s="398" t="s">
        <v>27</v>
      </c>
      <c r="B56" s="362">
        <f>B54-B55</f>
        <v>36.505001152479146</v>
      </c>
      <c r="C56" s="362">
        <f>C54-C55</f>
        <v>47.079510168809136</v>
      </c>
      <c r="D56" s="362">
        <f>D54-D55</f>
        <v>57.781271603789783</v>
      </c>
      <c r="E56" s="362">
        <f>E54-E55</f>
        <v>69.888693572857747</v>
      </c>
      <c r="F56" s="362">
        <f>F54-F55</f>
        <v>82.619685138320492</v>
      </c>
      <c r="G56" s="362">
        <f t="shared" ref="G56:H56" si="9">G54-G55</f>
        <v>94.711021632984711</v>
      </c>
      <c r="H56" s="362">
        <f t="shared" si="9"/>
        <v>108.58879194211266</v>
      </c>
    </row>
    <row r="57" spans="1:9" ht="30">
      <c r="A57" s="623" t="s">
        <v>986</v>
      </c>
      <c r="B57" s="362">
        <f>+B56*0.45</f>
        <v>16.427250518615615</v>
      </c>
      <c r="C57" s="362">
        <f t="shared" ref="C57:H57" si="10">+C56*0.45</f>
        <v>21.185779575964112</v>
      </c>
      <c r="D57" s="362">
        <f t="shared" si="10"/>
        <v>26.001572221705402</v>
      </c>
      <c r="E57" s="362">
        <f t="shared" si="10"/>
        <v>31.449912107785988</v>
      </c>
      <c r="F57" s="362">
        <f t="shared" si="10"/>
        <v>37.178858312244223</v>
      </c>
      <c r="G57" s="362">
        <f t="shared" si="10"/>
        <v>42.619959734843121</v>
      </c>
      <c r="H57" s="362">
        <f t="shared" si="10"/>
        <v>48.864956373950697</v>
      </c>
    </row>
    <row r="58" spans="1:9">
      <c r="A58" s="398" t="s">
        <v>895</v>
      </c>
      <c r="B58" s="399">
        <f>+B56-B57</f>
        <v>20.077750633863531</v>
      </c>
      <c r="C58" s="399">
        <f t="shared" ref="C58:H58" si="11">+C56-C57</f>
        <v>25.893730592845024</v>
      </c>
      <c r="D58" s="399">
        <f t="shared" si="11"/>
        <v>31.779699382084381</v>
      </c>
      <c r="E58" s="399">
        <f t="shared" si="11"/>
        <v>38.438781465071756</v>
      </c>
      <c r="F58" s="399">
        <f t="shared" si="11"/>
        <v>45.440826826076268</v>
      </c>
      <c r="G58" s="399">
        <f t="shared" si="11"/>
        <v>52.091061898141589</v>
      </c>
      <c r="H58" s="399">
        <f t="shared" si="11"/>
        <v>59.723835568161967</v>
      </c>
    </row>
    <row r="59" spans="1:9">
      <c r="A59" s="363" t="s">
        <v>492</v>
      </c>
      <c r="B59" s="362">
        <f>+B58</f>
        <v>20.077750633863531</v>
      </c>
      <c r="C59" s="362">
        <f t="shared" ref="C59:H59" si="12">B59+C58</f>
        <v>45.971481226708555</v>
      </c>
      <c r="D59" s="362">
        <f t="shared" si="12"/>
        <v>77.751180608792936</v>
      </c>
      <c r="E59" s="362">
        <f t="shared" si="12"/>
        <v>116.18996207386469</v>
      </c>
      <c r="F59" s="362">
        <f t="shared" si="12"/>
        <v>161.63078889994097</v>
      </c>
      <c r="G59" s="362">
        <f t="shared" si="12"/>
        <v>213.72185079808256</v>
      </c>
      <c r="H59" s="362">
        <f t="shared" si="12"/>
        <v>273.4456863662445</v>
      </c>
    </row>
    <row r="60" spans="1:9">
      <c r="A60" s="94"/>
      <c r="B60" s="401"/>
      <c r="C60" s="401"/>
      <c r="D60" s="401"/>
      <c r="E60" s="401"/>
      <c r="F60" s="401"/>
      <c r="G60" s="401"/>
      <c r="H60" s="401"/>
    </row>
    <row r="61" spans="1:9" s="622" customFormat="1" ht="43.5" customHeight="1">
      <c r="A61" s="728" t="s">
        <v>898</v>
      </c>
      <c r="B61" s="728"/>
      <c r="C61" s="728"/>
      <c r="D61" s="728"/>
      <c r="E61" s="728"/>
      <c r="F61" s="728"/>
      <c r="G61" s="728"/>
      <c r="H61" s="728"/>
    </row>
    <row r="62" spans="1:9" ht="31.5" customHeight="1">
      <c r="A62" s="729" t="s">
        <v>897</v>
      </c>
      <c r="B62" s="729"/>
      <c r="C62" s="729"/>
      <c r="D62" s="729"/>
      <c r="E62" s="729"/>
      <c r="F62" s="729"/>
      <c r="G62" s="729"/>
      <c r="H62" s="729"/>
    </row>
    <row r="63" spans="1:9">
      <c r="A63" s="621"/>
      <c r="B63" s="621"/>
      <c r="C63" s="621"/>
      <c r="D63" s="621"/>
      <c r="E63" s="621"/>
      <c r="F63" s="621"/>
      <c r="G63" s="621"/>
      <c r="H63" s="621"/>
    </row>
    <row r="64" spans="1:9" ht="32.450000000000003" customHeight="1">
      <c r="A64" s="727" t="s">
        <v>396</v>
      </c>
      <c r="B64" s="727"/>
      <c r="C64" s="727"/>
      <c r="D64" s="727"/>
      <c r="E64" s="727"/>
      <c r="F64" s="727"/>
      <c r="G64" s="727"/>
      <c r="H64" s="727"/>
      <c r="I64" s="599"/>
    </row>
    <row r="66" spans="1:1">
      <c r="A66" s="402"/>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2" zoomScaleSheetLayoutView="10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30"/>
      <c r="B1" s="730"/>
      <c r="C1" s="730"/>
      <c r="D1" s="730"/>
      <c r="E1" s="730"/>
      <c r="F1" s="730"/>
    </row>
    <row r="2" spans="1:18" ht="18.75">
      <c r="A2" s="731" t="s">
        <v>530</v>
      </c>
      <c r="B2" s="701"/>
      <c r="C2" s="701"/>
      <c r="D2" s="701"/>
      <c r="E2" s="701"/>
      <c r="F2" s="701"/>
      <c r="G2" s="701"/>
      <c r="H2" s="701"/>
      <c r="I2" s="71"/>
    </row>
    <row r="3" spans="1:18">
      <c r="A3" s="72"/>
      <c r="B3" s="46"/>
      <c r="C3" s="46"/>
      <c r="D3" s="46"/>
      <c r="E3" s="46"/>
      <c r="F3" s="46"/>
    </row>
    <row r="4" spans="1:18">
      <c r="A4" s="100" t="s">
        <v>0</v>
      </c>
      <c r="B4" s="101" t="s">
        <v>2</v>
      </c>
      <c r="C4" s="101" t="s">
        <v>3</v>
      </c>
      <c r="D4" s="101" t="s">
        <v>4</v>
      </c>
      <c r="E4" s="101" t="s">
        <v>5</v>
      </c>
      <c r="F4" s="101" t="s">
        <v>6</v>
      </c>
      <c r="G4" s="102" t="s">
        <v>164</v>
      </c>
      <c r="H4" s="102" t="s">
        <v>163</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242</v>
      </c>
      <c r="B8" s="487">
        <f>+'8.Cash Flow '!C35</f>
        <v>28.70315743560343</v>
      </c>
      <c r="C8" s="487">
        <f>+'8.Cash Flow '!D35</f>
        <v>45.947568759827277</v>
      </c>
      <c r="D8" s="487">
        <f>+'8.Cash Flow '!E35</f>
        <v>66.13921707366319</v>
      </c>
      <c r="E8" s="487">
        <f>+'8.Cash Flow '!F35</f>
        <v>89.511909365995848</v>
      </c>
      <c r="F8" s="487">
        <f>+'8.Cash Flow '!G35</f>
        <v>139.42311069444747</v>
      </c>
      <c r="G8" s="487">
        <f>+'8.Cash Flow '!H35</f>
        <v>193.99673274398867</v>
      </c>
      <c r="H8" s="487">
        <f>+'8.Cash Flow '!I35</f>
        <v>253.96758279272319</v>
      </c>
      <c r="J8" s="44">
        <v>17.154377439732798</v>
      </c>
      <c r="K8" s="57">
        <f>+B8-J8</f>
        <v>11.548779995870632</v>
      </c>
      <c r="L8" s="57"/>
      <c r="M8" s="57"/>
      <c r="N8" s="57"/>
      <c r="O8" s="57"/>
      <c r="P8" s="57"/>
      <c r="Q8" s="57"/>
      <c r="R8" s="57"/>
    </row>
    <row r="9" spans="1:18">
      <c r="A9" s="111" t="s">
        <v>243</v>
      </c>
      <c r="B9" s="107">
        <f>+'5.Closing Stock &amp; W Capital'!E40</f>
        <v>35.891506849315078</v>
      </c>
      <c r="C9" s="107">
        <f>+'5.Closing Stock &amp; W Capital'!F40</f>
        <v>41.539315068493146</v>
      </c>
      <c r="D9" s="107">
        <f>+'5.Closing Stock &amp; W Capital'!G40</f>
        <v>47.588052054794517</v>
      </c>
      <c r="E9" s="107">
        <f>+'5.Closing Stock &amp; W Capital'!H40</f>
        <v>54.147045570776264</v>
      </c>
      <c r="F9" s="107">
        <f>+'5.Closing Stock &amp; W Capital'!I40</f>
        <v>61.236587041095888</v>
      </c>
      <c r="G9" s="107">
        <f>+'5.Closing Stock &amp; W Capital'!J40</f>
        <v>68.824212818493152</v>
      </c>
      <c r="H9" s="107">
        <f>+'5.Closing Stock &amp; W Capital'!K40</f>
        <v>77.099796785936064</v>
      </c>
      <c r="J9" s="47">
        <v>19.848951581790121</v>
      </c>
      <c r="K9" s="57">
        <f t="shared" ref="K9:K44" si="0">+B9-J9</f>
        <v>16.042555267524957</v>
      </c>
      <c r="L9" s="57"/>
      <c r="M9" s="57"/>
      <c r="N9" s="57"/>
      <c r="O9" s="57"/>
      <c r="P9" s="57"/>
      <c r="Q9" s="57"/>
      <c r="R9" s="57"/>
    </row>
    <row r="10" spans="1:18">
      <c r="A10" s="111" t="s">
        <v>567</v>
      </c>
      <c r="B10" s="107"/>
      <c r="C10" s="107"/>
      <c r="D10" s="107"/>
      <c r="E10" s="107"/>
      <c r="F10" s="107"/>
      <c r="G10" s="107"/>
      <c r="H10" s="107"/>
      <c r="K10" s="57">
        <f t="shared" si="0"/>
        <v>0</v>
      </c>
      <c r="L10" s="57"/>
      <c r="M10" s="57"/>
      <c r="N10" s="57"/>
      <c r="O10" s="57"/>
      <c r="P10" s="57"/>
      <c r="Q10" s="57"/>
      <c r="R10" s="57"/>
    </row>
    <row r="11" spans="1:18">
      <c r="A11" s="111" t="s">
        <v>821</v>
      </c>
      <c r="B11" s="107">
        <f>+'5.Closing Stock &amp; W Capital'!E42</f>
        <v>35.72</v>
      </c>
      <c r="C11" s="107">
        <f>+'5.Closing Stock &amp; W Capital'!F42</f>
        <v>68.043499999999995</v>
      </c>
      <c r="D11" s="107">
        <f>+'5.Closing Stock &amp; W Capital'!G42</f>
        <v>106.42677499999999</v>
      </c>
      <c r="E11" s="107">
        <f>+'5.Closing Stock &amp; W Capital'!H42</f>
        <v>151.55290833333333</v>
      </c>
      <c r="F11" s="107">
        <f>+'5.Closing Stock &amp; W Capital'!I42</f>
        <v>204.13560000000001</v>
      </c>
      <c r="G11" s="107">
        <f>+'5.Closing Stock &amp; W Capital'!J42</f>
        <v>264.94499999999999</v>
      </c>
      <c r="H11" s="107">
        <f>+'5.Closing Stock &amp; W Capital'!K42</f>
        <v>334.88996666666662</v>
      </c>
      <c r="J11" s="44">
        <v>8.1916504629629614</v>
      </c>
      <c r="K11" s="57">
        <f t="shared" si="0"/>
        <v>27.528349537037037</v>
      </c>
      <c r="L11" s="57"/>
      <c r="M11" s="57"/>
      <c r="N11" s="57"/>
      <c r="O11" s="57"/>
      <c r="P11" s="57"/>
      <c r="Q11" s="57"/>
      <c r="R11" s="57"/>
    </row>
    <row r="12" spans="1:18">
      <c r="A12" s="108" t="s">
        <v>244</v>
      </c>
      <c r="B12" s="487">
        <f>SUM(B8:B11)</f>
        <v>100.31466428491851</v>
      </c>
      <c r="C12" s="487">
        <f t="shared" ref="C12:H12" si="1">SUM(C8:C11)</f>
        <v>155.53038382832042</v>
      </c>
      <c r="D12" s="487">
        <f t="shared" si="1"/>
        <v>220.15404412845771</v>
      </c>
      <c r="E12" s="487">
        <f t="shared" si="1"/>
        <v>295.21186327010548</v>
      </c>
      <c r="F12" s="487">
        <f t="shared" si="1"/>
        <v>404.79529773554339</v>
      </c>
      <c r="G12" s="487">
        <f t="shared" si="1"/>
        <v>527.76594556248187</v>
      </c>
      <c r="H12" s="487">
        <f t="shared" si="1"/>
        <v>665.95734624532588</v>
      </c>
      <c r="J12" s="44">
        <v>45.194979484485877</v>
      </c>
      <c r="K12" s="57">
        <f t="shared" si="0"/>
        <v>55.11968480043263</v>
      </c>
    </row>
    <row r="13" spans="1:18">
      <c r="A13" s="108"/>
      <c r="B13" s="107"/>
      <c r="C13" s="107"/>
      <c r="D13" s="107"/>
      <c r="E13" s="107"/>
      <c r="F13" s="107"/>
      <c r="G13" s="107"/>
      <c r="H13" s="107"/>
      <c r="J13" s="57"/>
      <c r="K13" s="57">
        <f t="shared" si="0"/>
        <v>0</v>
      </c>
      <c r="L13" s="57"/>
      <c r="M13" s="57"/>
      <c r="N13" s="57"/>
      <c r="O13" s="57"/>
      <c r="P13" s="57"/>
      <c r="Q13" s="57"/>
    </row>
    <row r="14" spans="1:18">
      <c r="A14" s="112" t="s">
        <v>245</v>
      </c>
      <c r="B14" s="107">
        <f>'3.Other Exp &amp; Taxes'!C57</f>
        <v>319.41000000000003</v>
      </c>
      <c r="C14" s="107">
        <f>'3.Other Exp &amp; Taxes'!D57</f>
        <v>304.72324300000002</v>
      </c>
      <c r="D14" s="107">
        <f>'3.Other Exp &amp; Taxes'!E57</f>
        <v>290.03648600000002</v>
      </c>
      <c r="E14" s="107">
        <f>'3.Other Exp &amp; Taxes'!F57</f>
        <v>275.34972900000002</v>
      </c>
      <c r="F14" s="107">
        <f>'3.Other Exp &amp; Taxes'!G57</f>
        <v>260.66297200000008</v>
      </c>
      <c r="G14" s="107">
        <f>'3.Other Exp &amp; Taxes'!H57</f>
        <v>245.97621500000008</v>
      </c>
      <c r="H14" s="107">
        <f>'3.Other Exp &amp; Taxes'!I57</f>
        <v>231.28945800000008</v>
      </c>
      <c r="J14" s="44">
        <v>138.0181</v>
      </c>
      <c r="K14" s="57">
        <f t="shared" si="0"/>
        <v>181.39190000000002</v>
      </c>
    </row>
    <row r="15" spans="1:18">
      <c r="A15" s="112" t="s">
        <v>246</v>
      </c>
      <c r="B15" s="107">
        <f>'3.Other Exp &amp; Taxes'!C58</f>
        <v>14.686757</v>
      </c>
      <c r="C15" s="107">
        <f>'3.Other Exp &amp; Taxes'!D58</f>
        <v>14.686757</v>
      </c>
      <c r="D15" s="107">
        <f>'3.Other Exp &amp; Taxes'!E58</f>
        <v>14.686757</v>
      </c>
      <c r="E15" s="107">
        <f>'3.Other Exp &amp; Taxes'!F58</f>
        <v>14.686757</v>
      </c>
      <c r="F15" s="107">
        <f>'3.Other Exp &amp; Taxes'!G58</f>
        <v>14.686757</v>
      </c>
      <c r="G15" s="107">
        <f>'3.Other Exp &amp; Taxes'!H58</f>
        <v>14.686757</v>
      </c>
      <c r="H15" s="107">
        <f>'3.Other Exp &amp; Taxes'!I58</f>
        <v>14.686757</v>
      </c>
      <c r="J15" s="44">
        <v>5.2880377300000001</v>
      </c>
      <c r="K15" s="57">
        <f t="shared" si="0"/>
        <v>9.3987192700000008</v>
      </c>
      <c r="L15" s="57"/>
      <c r="M15" s="57"/>
      <c r="N15" s="57"/>
      <c r="O15" s="57"/>
      <c r="P15" s="57"/>
      <c r="Q15" s="57"/>
    </row>
    <row r="16" spans="1:18" s="46" customFormat="1">
      <c r="A16" s="108" t="s">
        <v>191</v>
      </c>
      <c r="B16" s="487">
        <f t="shared" ref="B16:H16" si="2">B14-B15</f>
        <v>304.72324300000002</v>
      </c>
      <c r="C16" s="487">
        <f t="shared" si="2"/>
        <v>290.03648600000002</v>
      </c>
      <c r="D16" s="487">
        <f t="shared" si="2"/>
        <v>275.34972900000002</v>
      </c>
      <c r="E16" s="487">
        <f t="shared" si="2"/>
        <v>260.66297200000002</v>
      </c>
      <c r="F16" s="487">
        <f t="shared" si="2"/>
        <v>245.97621500000008</v>
      </c>
      <c r="G16" s="487">
        <f t="shared" si="2"/>
        <v>231.28945800000008</v>
      </c>
      <c r="H16" s="487">
        <f t="shared" si="2"/>
        <v>216.60270100000008</v>
      </c>
      <c r="J16" s="46">
        <v>132.73006226999999</v>
      </c>
      <c r="K16" s="57">
        <f t="shared" si="0"/>
        <v>171.99318073000003</v>
      </c>
    </row>
    <row r="17" spans="1:11" s="46" customFormat="1">
      <c r="A17" s="108"/>
      <c r="B17" s="487"/>
      <c r="C17" s="487"/>
      <c r="D17" s="487"/>
      <c r="E17" s="487"/>
      <c r="F17" s="487"/>
      <c r="G17" s="487"/>
      <c r="H17" s="487"/>
      <c r="K17" s="57">
        <f t="shared" si="0"/>
        <v>0</v>
      </c>
    </row>
    <row r="18" spans="1:11" s="46" customFormat="1">
      <c r="A18" s="113" t="s">
        <v>896</v>
      </c>
      <c r="B18" s="487">
        <f>+'6.Cons Profit &amp; Loss'!B57</f>
        <v>16.427250518615615</v>
      </c>
      <c r="C18" s="487">
        <f>+B18+'6.Cons Profit &amp; Loss'!C57</f>
        <v>37.613030094579727</v>
      </c>
      <c r="D18" s="487">
        <f>+C18+'6.Cons Profit &amp; Loss'!D57</f>
        <v>63.614602316285129</v>
      </c>
      <c r="E18" s="487">
        <f>+D18+'6.Cons Profit &amp; Loss'!E57</f>
        <v>95.06451442407112</v>
      </c>
      <c r="F18" s="487">
        <f>+E18+'6.Cons Profit &amp; Loss'!F57</f>
        <v>132.24337273631534</v>
      </c>
      <c r="G18" s="487">
        <f>+F18+'6.Cons Profit &amp; Loss'!G57</f>
        <v>174.86333247115846</v>
      </c>
      <c r="H18" s="487">
        <f>+G18+'6.Cons Profit &amp; Loss'!H57</f>
        <v>223.72828884510915</v>
      </c>
      <c r="K18" s="57">
        <f t="shared" si="0"/>
        <v>16.427250518615615</v>
      </c>
    </row>
    <row r="19" spans="1:11" s="46" customFormat="1">
      <c r="A19" s="108" t="s">
        <v>494</v>
      </c>
      <c r="B19" s="487">
        <f>'8.Cash Flow '!C22-'6.Cons Profit &amp; Loss'!B47</f>
        <v>13.689</v>
      </c>
      <c r="C19" s="487">
        <f>B19-'6.Cons Profit &amp; Loss'!C47</f>
        <v>11.407499999999999</v>
      </c>
      <c r="D19" s="487">
        <f>C19-'6.Cons Profit &amp; Loss'!D47</f>
        <v>9.1259999999999977</v>
      </c>
      <c r="E19" s="487">
        <f>D19-'6.Cons Profit &amp; Loss'!E47</f>
        <v>6.8444999999999974</v>
      </c>
      <c r="F19" s="487">
        <f>E19-'6.Cons Profit &amp; Loss'!F47</f>
        <v>4.5629999999999971</v>
      </c>
      <c r="G19" s="487">
        <f>F19-'6.Cons Profit &amp; Loss'!G47</f>
        <v>2.2814999999999968</v>
      </c>
      <c r="H19" s="487">
        <f>G19-'6.Cons Profit &amp; Loss'!H47</f>
        <v>-3.5527136788005009E-15</v>
      </c>
      <c r="J19" s="46">
        <v>5.9150614285714296</v>
      </c>
      <c r="K19" s="57">
        <f t="shared" si="0"/>
        <v>7.7739385714285705</v>
      </c>
    </row>
    <row r="20" spans="1:11">
      <c r="A20" s="112"/>
      <c r="B20" s="107"/>
      <c r="C20" s="107"/>
      <c r="D20" s="107"/>
      <c r="E20" s="107"/>
      <c r="F20" s="107"/>
      <c r="G20" s="107"/>
      <c r="H20" s="107"/>
      <c r="K20" s="57">
        <f t="shared" si="0"/>
        <v>0</v>
      </c>
    </row>
    <row r="21" spans="1:11">
      <c r="A21" s="113" t="s">
        <v>248</v>
      </c>
      <c r="B21" s="488">
        <f t="shared" ref="B21:H21" si="3">B12+B16+B18+B19</f>
        <v>435.15415780353419</v>
      </c>
      <c r="C21" s="488">
        <f t="shared" si="3"/>
        <v>494.5873999229002</v>
      </c>
      <c r="D21" s="488">
        <f t="shared" si="3"/>
        <v>568.2443754447429</v>
      </c>
      <c r="E21" s="488">
        <f t="shared" si="3"/>
        <v>657.78384969417664</v>
      </c>
      <c r="F21" s="488">
        <f t="shared" si="3"/>
        <v>787.57788547185874</v>
      </c>
      <c r="G21" s="488">
        <f t="shared" si="3"/>
        <v>936.20023603364052</v>
      </c>
      <c r="H21" s="488">
        <f t="shared" si="3"/>
        <v>1106.288336090435</v>
      </c>
      <c r="J21" s="44">
        <v>183.84010318305729</v>
      </c>
      <c r="K21" s="57">
        <f t="shared" si="0"/>
        <v>251.3140546204769</v>
      </c>
    </row>
    <row r="22" spans="1:11">
      <c r="A22" s="103"/>
      <c r="B22" s="489"/>
      <c r="C22" s="489"/>
      <c r="D22" s="489"/>
      <c r="E22" s="489"/>
      <c r="F22" s="489"/>
      <c r="G22" s="489"/>
      <c r="H22" s="489"/>
      <c r="K22" s="57">
        <f t="shared" si="0"/>
        <v>0</v>
      </c>
    </row>
    <row r="23" spans="1:11">
      <c r="A23" s="106" t="s">
        <v>249</v>
      </c>
      <c r="B23" s="109"/>
      <c r="C23" s="109"/>
      <c r="D23" s="109"/>
      <c r="E23" s="109"/>
      <c r="F23" s="109"/>
      <c r="G23" s="109"/>
      <c r="H23" s="109"/>
      <c r="K23" s="57">
        <f t="shared" si="0"/>
        <v>0</v>
      </c>
    </row>
    <row r="24" spans="1:11">
      <c r="A24" s="108" t="s">
        <v>250</v>
      </c>
      <c r="B24" s="109"/>
      <c r="C24" s="109"/>
      <c r="D24" s="109"/>
      <c r="E24" s="109"/>
      <c r="F24" s="109"/>
      <c r="G24" s="109"/>
      <c r="H24" s="109"/>
      <c r="K24" s="57">
        <f t="shared" si="0"/>
        <v>0</v>
      </c>
    </row>
    <row r="25" spans="1:11">
      <c r="A25" s="111" t="s">
        <v>251</v>
      </c>
      <c r="B25" s="487">
        <f>+'5.Closing Stock &amp; W Capital'!E56</f>
        <v>14.593402011986306</v>
      </c>
      <c r="C25" s="487">
        <f>+'5.Closing Stock &amp; W Capital'!F56</f>
        <v>37.893563957619847</v>
      </c>
      <c r="D25" s="487">
        <f>+'5.Closing Stock &amp; W Capital'!G56</f>
        <v>64.986321142658397</v>
      </c>
      <c r="E25" s="487">
        <f>+'5.Closing Stock &amp; W Capital'!H56</f>
        <v>97.018344135593907</v>
      </c>
      <c r="F25" s="487">
        <f>+'5.Closing Stock &amp; W Capital'!I56</f>
        <v>134.51199162846808</v>
      </c>
      <c r="G25" s="487">
        <f>+'5.Closing Stock &amp; W Capital'!J56</f>
        <v>177.96908217426898</v>
      </c>
      <c r="H25" s="487">
        <f>+'5.Closing Stock &amp; W Capital'!K56</f>
        <v>228.13280973255189</v>
      </c>
      <c r="J25" s="44">
        <v>7.2281403721064805</v>
      </c>
      <c r="K25" s="57">
        <f t="shared" si="0"/>
        <v>7.3652616398798259</v>
      </c>
    </row>
    <row r="26" spans="1:11">
      <c r="A26" s="111" t="s">
        <v>252</v>
      </c>
      <c r="B26" s="489">
        <f>+'5.Closing Stock &amp; W Capital'!E54</f>
        <v>52.153637500000002</v>
      </c>
      <c r="C26" s="489">
        <f>+'5.Closing Stock &amp; W Capital'!F54</f>
        <v>59.058063125000018</v>
      </c>
      <c r="D26" s="489">
        <f>+'5.Closing Stock &amp; W Capital'!G54</f>
        <v>67.366398864583331</v>
      </c>
      <c r="E26" s="489">
        <f>+'5.Closing Stock &amp; W Capital'!H54</f>
        <v>76.342161723317716</v>
      </c>
      <c r="F26" s="489">
        <f>+'5.Closing Stock &amp; W Capital'!I54</f>
        <v>86.022864869805105</v>
      </c>
      <c r="G26" s="489">
        <f>+'5.Closing Stock &amp; W Capital'!J54</f>
        <v>96.477103252801172</v>
      </c>
      <c r="H26" s="489">
        <f>+'5.Closing Stock &amp; W Capital'!K54</f>
        <v>107.81268380920015</v>
      </c>
      <c r="J26" s="44">
        <v>18.403081548611109</v>
      </c>
      <c r="K26" s="57">
        <f t="shared" si="0"/>
        <v>33.75055595138889</v>
      </c>
    </row>
    <row r="27" spans="1:11" s="45" customFormat="1">
      <c r="A27" s="111" t="s">
        <v>253</v>
      </c>
      <c r="B27" s="487"/>
      <c r="C27" s="487"/>
      <c r="D27" s="487"/>
      <c r="E27" s="487"/>
      <c r="F27" s="487"/>
      <c r="G27" s="487"/>
      <c r="H27" s="487"/>
      <c r="K27" s="57">
        <f t="shared" si="0"/>
        <v>0</v>
      </c>
    </row>
    <row r="28" spans="1:11" s="45" customFormat="1">
      <c r="A28" s="108" t="s">
        <v>254</v>
      </c>
      <c r="B28" s="488">
        <f t="shared" ref="B28:H28" si="4">SUM(B25:B27)</f>
        <v>66.747039511986316</v>
      </c>
      <c r="C28" s="488">
        <f t="shared" si="4"/>
        <v>96.951627082619865</v>
      </c>
      <c r="D28" s="488">
        <f t="shared" si="4"/>
        <v>132.35272000724171</v>
      </c>
      <c r="E28" s="488">
        <f t="shared" si="4"/>
        <v>173.36050585891161</v>
      </c>
      <c r="F28" s="488">
        <f t="shared" si="4"/>
        <v>220.5348564982732</v>
      </c>
      <c r="G28" s="488">
        <f t="shared" si="4"/>
        <v>274.44618542707013</v>
      </c>
      <c r="H28" s="488">
        <f t="shared" si="4"/>
        <v>335.94549354175206</v>
      </c>
      <c r="J28" s="45">
        <v>25.631221920717589</v>
      </c>
      <c r="K28" s="57">
        <f t="shared" si="0"/>
        <v>41.115817591268723</v>
      </c>
    </row>
    <row r="29" spans="1:11" s="45" customFormat="1">
      <c r="A29" s="108" t="s">
        <v>255</v>
      </c>
      <c r="B29" s="488">
        <f>'4.TL repayment sch'!G21</f>
        <v>58.733249801739831</v>
      </c>
      <c r="C29" s="488">
        <f>'4.TL repayment sch'!G33</f>
        <v>40.882394181663017</v>
      </c>
      <c r="D29" s="488">
        <f>'4.TL repayment sch'!G45</f>
        <v>21.357005175094184</v>
      </c>
      <c r="E29" s="488">
        <f>'4.TL repayment sch'!G57</f>
        <v>5.3290705182007514E-15</v>
      </c>
      <c r="F29" s="488">
        <f>'4.TL repayment sch'!G69</f>
        <v>1.9984014443252818E-15</v>
      </c>
      <c r="G29" s="488">
        <f>'4.TL repayment sch'!G81</f>
        <v>1.9984014443252818E-15</v>
      </c>
      <c r="H29" s="488">
        <f>'[2]Term Loan'!J72+'[2]Term Loan'!S72</f>
        <v>0</v>
      </c>
      <c r="J29" s="45">
        <v>25.378828291103925</v>
      </c>
      <c r="K29" s="57">
        <f t="shared" si="0"/>
        <v>33.354421510635902</v>
      </c>
    </row>
    <row r="30" spans="1:11" s="45" customFormat="1">
      <c r="A30" s="108" t="s">
        <v>256</v>
      </c>
      <c r="B30" s="488"/>
      <c r="C30" s="488"/>
      <c r="D30" s="488"/>
      <c r="E30" s="488"/>
      <c r="F30" s="488"/>
      <c r="G30" s="488"/>
      <c r="H30" s="488"/>
      <c r="K30" s="57">
        <f t="shared" si="0"/>
        <v>0</v>
      </c>
    </row>
    <row r="31" spans="1:11" s="45" customFormat="1">
      <c r="A31" s="108"/>
      <c r="B31" s="490"/>
      <c r="C31" s="490"/>
      <c r="D31" s="490"/>
      <c r="E31" s="490"/>
      <c r="F31" s="490"/>
      <c r="G31" s="490"/>
      <c r="H31" s="490"/>
      <c r="K31" s="57">
        <f t="shared" si="0"/>
        <v>0</v>
      </c>
    </row>
    <row r="32" spans="1:11">
      <c r="A32" s="113" t="s">
        <v>257</v>
      </c>
      <c r="B32" s="488">
        <f t="shared" ref="B32:H32" si="5">SUM(B28:B30)</f>
        <v>125.48028931372615</v>
      </c>
      <c r="C32" s="488">
        <f t="shared" si="5"/>
        <v>137.83402126428288</v>
      </c>
      <c r="D32" s="488">
        <f t="shared" si="5"/>
        <v>153.70972518233589</v>
      </c>
      <c r="E32" s="488">
        <f t="shared" si="5"/>
        <v>173.36050585891161</v>
      </c>
      <c r="F32" s="488">
        <f t="shared" si="5"/>
        <v>220.5348564982732</v>
      </c>
      <c r="G32" s="488">
        <f t="shared" si="5"/>
        <v>274.44618542707013</v>
      </c>
      <c r="H32" s="488">
        <f t="shared" si="5"/>
        <v>335.94549354175206</v>
      </c>
      <c r="J32" s="44">
        <v>51.010050211821515</v>
      </c>
      <c r="K32" s="57">
        <f t="shared" si="0"/>
        <v>74.470239101904639</v>
      </c>
    </row>
    <row r="33" spans="1:11">
      <c r="A33" s="103"/>
      <c r="B33" s="115"/>
      <c r="C33" s="115"/>
      <c r="D33" s="115"/>
      <c r="E33" s="115"/>
      <c r="F33" s="115"/>
      <c r="G33" s="115"/>
      <c r="H33" s="115"/>
      <c r="K33" s="57">
        <f t="shared" si="0"/>
        <v>0</v>
      </c>
    </row>
    <row r="34" spans="1:11">
      <c r="A34" s="112" t="s">
        <v>258</v>
      </c>
      <c r="B34" s="107">
        <f>'1.Project Cost and MOF'!E19</f>
        <v>71.940567337328801</v>
      </c>
      <c r="C34" s="107">
        <f>B34</f>
        <v>71.940567337328801</v>
      </c>
      <c r="D34" s="107">
        <f t="shared" ref="D34:H35" si="6">C34</f>
        <v>71.940567337328801</v>
      </c>
      <c r="E34" s="107">
        <f t="shared" si="6"/>
        <v>71.940567337328801</v>
      </c>
      <c r="F34" s="107">
        <f t="shared" si="6"/>
        <v>71.940567337328801</v>
      </c>
      <c r="G34" s="107">
        <f t="shared" si="6"/>
        <v>71.940567337328801</v>
      </c>
      <c r="H34" s="107">
        <f t="shared" si="6"/>
        <v>71.940567337328801</v>
      </c>
      <c r="J34" s="44">
        <v>31.393181124035507</v>
      </c>
      <c r="K34" s="57">
        <f t="shared" si="0"/>
        <v>40.547386213293294</v>
      </c>
    </row>
    <row r="35" spans="1:11">
      <c r="A35" s="112" t="s">
        <v>495</v>
      </c>
      <c r="B35" s="107">
        <f>'1.Project Cost and MOF'!E20</f>
        <v>201.22830000000002</v>
      </c>
      <c r="C35" s="107">
        <f>B35</f>
        <v>201.22830000000002</v>
      </c>
      <c r="D35" s="107">
        <f t="shared" si="6"/>
        <v>201.22830000000002</v>
      </c>
      <c r="E35" s="107">
        <f t="shared" si="6"/>
        <v>201.22830000000002</v>
      </c>
      <c r="F35" s="107">
        <f t="shared" si="6"/>
        <v>201.22830000000002</v>
      </c>
      <c r="G35" s="107">
        <f t="shared" si="6"/>
        <v>201.22830000000002</v>
      </c>
      <c r="H35" s="107">
        <f t="shared" si="6"/>
        <v>201.22830000000002</v>
      </c>
      <c r="J35" s="44">
        <v>86.951402999999985</v>
      </c>
      <c r="K35" s="57">
        <f t="shared" si="0"/>
        <v>114.27689700000003</v>
      </c>
    </row>
    <row r="36" spans="1:11">
      <c r="A36" s="108" t="s">
        <v>259</v>
      </c>
      <c r="B36" s="107"/>
      <c r="C36" s="107"/>
      <c r="D36" s="107"/>
      <c r="E36" s="107"/>
      <c r="F36" s="107"/>
      <c r="G36" s="107"/>
      <c r="H36" s="107"/>
      <c r="K36" s="57">
        <f t="shared" si="0"/>
        <v>0</v>
      </c>
    </row>
    <row r="37" spans="1:11">
      <c r="A37" s="112" t="s">
        <v>260</v>
      </c>
      <c r="B37" s="107">
        <v>0</v>
      </c>
      <c r="C37" s="107">
        <f t="shared" ref="C37:H37" si="7">B40</f>
        <v>36.505001152479146</v>
      </c>
      <c r="D37" s="107">
        <f t="shared" si="7"/>
        <v>83.584511321288289</v>
      </c>
      <c r="E37" s="107">
        <f t="shared" si="7"/>
        <v>141.36578292507807</v>
      </c>
      <c r="F37" s="107">
        <f t="shared" si="7"/>
        <v>211.25447649793583</v>
      </c>
      <c r="G37" s="107">
        <f t="shared" si="7"/>
        <v>293.87416163625636</v>
      </c>
      <c r="H37" s="107">
        <f t="shared" si="7"/>
        <v>388.5851832692411</v>
      </c>
      <c r="J37" s="44">
        <v>0</v>
      </c>
      <c r="K37" s="57">
        <f t="shared" si="0"/>
        <v>0</v>
      </c>
    </row>
    <row r="38" spans="1:11">
      <c r="A38" s="112" t="s">
        <v>261</v>
      </c>
      <c r="B38" s="107">
        <f>+'6.Cons Profit &amp; Loss'!B58</f>
        <v>20.077750633863531</v>
      </c>
      <c r="C38" s="107">
        <f>+'6.Cons Profit &amp; Loss'!C58</f>
        <v>25.893730592845024</v>
      </c>
      <c r="D38" s="107">
        <f>+'6.Cons Profit &amp; Loss'!D58</f>
        <v>31.779699382084381</v>
      </c>
      <c r="E38" s="107">
        <f>+'6.Cons Profit &amp; Loss'!E58</f>
        <v>38.438781465071756</v>
      </c>
      <c r="F38" s="107">
        <f>+'6.Cons Profit &amp; Loss'!F58</f>
        <v>45.440826826076268</v>
      </c>
      <c r="G38" s="107">
        <f>+'6.Cons Profit &amp; Loss'!G58</f>
        <v>52.091061898141589</v>
      </c>
      <c r="H38" s="107">
        <f>+'6.Cons Profit &amp; Loss'!H58</f>
        <v>59.723835568161967</v>
      </c>
      <c r="J38" s="44">
        <v>14.485468847200268</v>
      </c>
      <c r="K38" s="57">
        <f t="shared" si="0"/>
        <v>5.5922817866632624</v>
      </c>
    </row>
    <row r="39" spans="1:11" ht="42.75">
      <c r="A39" s="624" t="str">
        <f>+'6.Cons Profit &amp; Loss'!A57</f>
        <v>Appropriation 45% for Investment reserve ( Distribution of Dividend and Bonus Shares)</v>
      </c>
      <c r="B39" s="107">
        <f>+'6.Cons Profit &amp; Loss'!B57</f>
        <v>16.427250518615615</v>
      </c>
      <c r="C39" s="107">
        <f>+'6.Cons Profit &amp; Loss'!C57</f>
        <v>21.185779575964112</v>
      </c>
      <c r="D39" s="107">
        <f>+'6.Cons Profit &amp; Loss'!D57</f>
        <v>26.001572221705402</v>
      </c>
      <c r="E39" s="107">
        <f>+'6.Cons Profit &amp; Loss'!E57</f>
        <v>31.449912107785988</v>
      </c>
      <c r="F39" s="107">
        <f>+'6.Cons Profit &amp; Loss'!F57</f>
        <v>37.178858312244223</v>
      </c>
      <c r="G39" s="107">
        <f>+'6.Cons Profit &amp; Loss'!G57</f>
        <v>42.619959734843121</v>
      </c>
      <c r="H39" s="107">
        <f>+'6.Cons Profit &amp; Loss'!H57</f>
        <v>48.864956373950697</v>
      </c>
      <c r="K39" s="57">
        <f t="shared" si="0"/>
        <v>16.427250518615615</v>
      </c>
    </row>
    <row r="40" spans="1:11">
      <c r="A40" s="112" t="s">
        <v>262</v>
      </c>
      <c r="B40" s="107">
        <f>B37+B38+B39</f>
        <v>36.505001152479146</v>
      </c>
      <c r="C40" s="107">
        <f t="shared" ref="C40:H40" si="8">C37+C38+C39</f>
        <v>83.584511321288289</v>
      </c>
      <c r="D40" s="107">
        <f t="shared" si="8"/>
        <v>141.36578292507807</v>
      </c>
      <c r="E40" s="107">
        <f t="shared" si="8"/>
        <v>211.25447649793583</v>
      </c>
      <c r="F40" s="107">
        <f t="shared" si="8"/>
        <v>293.87416163625636</v>
      </c>
      <c r="G40" s="107">
        <f t="shared" si="8"/>
        <v>388.5851832692411</v>
      </c>
      <c r="H40" s="107">
        <f t="shared" si="8"/>
        <v>497.17397521135376</v>
      </c>
      <c r="J40" s="44">
        <v>14.485468847200268</v>
      </c>
      <c r="K40" s="57">
        <f t="shared" si="0"/>
        <v>22.019532305278879</v>
      </c>
    </row>
    <row r="41" spans="1:11">
      <c r="A41" s="112"/>
      <c r="B41" s="109"/>
      <c r="C41" s="109"/>
      <c r="D41" s="109"/>
      <c r="E41" s="109"/>
      <c r="F41" s="109"/>
      <c r="G41" s="109"/>
      <c r="H41" s="109"/>
      <c r="K41" s="57">
        <f t="shared" si="0"/>
        <v>0</v>
      </c>
    </row>
    <row r="42" spans="1:11">
      <c r="A42" s="114" t="s">
        <v>263</v>
      </c>
      <c r="B42" s="491">
        <f t="shared" ref="B42:H42" si="9">B34+B40+B35</f>
        <v>309.673868489808</v>
      </c>
      <c r="C42" s="491">
        <f t="shared" si="9"/>
        <v>356.75337865861707</v>
      </c>
      <c r="D42" s="491">
        <f t="shared" si="9"/>
        <v>414.5346502624069</v>
      </c>
      <c r="E42" s="491">
        <f t="shared" si="9"/>
        <v>484.42334383526463</v>
      </c>
      <c r="F42" s="491">
        <f t="shared" si="9"/>
        <v>567.04302897358514</v>
      </c>
      <c r="G42" s="491">
        <f t="shared" si="9"/>
        <v>661.75405060656988</v>
      </c>
      <c r="H42" s="491">
        <f t="shared" si="9"/>
        <v>770.3428425486826</v>
      </c>
      <c r="J42" s="44">
        <v>132.83005297123577</v>
      </c>
      <c r="K42" s="57">
        <f t="shared" si="0"/>
        <v>176.84381551857223</v>
      </c>
    </row>
    <row r="43" spans="1:11">
      <c r="A43" s="103"/>
      <c r="B43" s="107"/>
      <c r="C43" s="107"/>
      <c r="D43" s="107"/>
      <c r="E43" s="107"/>
      <c r="F43" s="107"/>
      <c r="G43" s="107"/>
      <c r="H43" s="107"/>
      <c r="K43" s="57">
        <f t="shared" si="0"/>
        <v>0</v>
      </c>
    </row>
    <row r="44" spans="1:11">
      <c r="A44" s="113" t="s">
        <v>264</v>
      </c>
      <c r="B44" s="488">
        <f t="shared" ref="B44:H44" si="10">B32+B42</f>
        <v>435.15415780353413</v>
      </c>
      <c r="C44" s="488">
        <f t="shared" si="10"/>
        <v>494.58739992289998</v>
      </c>
      <c r="D44" s="488">
        <f t="shared" si="10"/>
        <v>568.24437544474279</v>
      </c>
      <c r="E44" s="488">
        <f t="shared" si="10"/>
        <v>657.7838496941763</v>
      </c>
      <c r="F44" s="488">
        <f t="shared" si="10"/>
        <v>787.57788547185828</v>
      </c>
      <c r="G44" s="488">
        <f t="shared" si="10"/>
        <v>936.20023603364007</v>
      </c>
      <c r="H44" s="488">
        <f t="shared" si="10"/>
        <v>1106.2883360904348</v>
      </c>
      <c r="J44" s="44">
        <v>183.84010318305729</v>
      </c>
      <c r="K44" s="57">
        <f t="shared" si="0"/>
        <v>251.31405462047684</v>
      </c>
    </row>
    <row r="45" spans="1:11">
      <c r="A45" s="103"/>
      <c r="B45" s="115"/>
      <c r="C45" s="115"/>
      <c r="D45" s="115"/>
      <c r="E45" s="115"/>
      <c r="F45" s="115"/>
      <c r="G45" s="115"/>
      <c r="H45" s="115"/>
    </row>
    <row r="46" spans="1:11">
      <c r="A46" s="116" t="s">
        <v>265</v>
      </c>
      <c r="B46" s="117"/>
      <c r="C46" s="117"/>
      <c r="D46" s="117"/>
      <c r="E46" s="117"/>
      <c r="F46" s="117"/>
      <c r="G46" s="117"/>
      <c r="H46" s="117"/>
    </row>
    <row r="47" spans="1:11">
      <c r="A47" s="118" t="s">
        <v>266</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32" t="s">
        <v>397</v>
      </c>
      <c r="B51" s="732"/>
      <c r="C51" s="732"/>
      <c r="D51" s="732"/>
      <c r="E51" s="732"/>
      <c r="F51" s="732"/>
      <c r="G51" s="732"/>
      <c r="H51" s="732"/>
      <c r="I51" s="60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55" zoomScaleNormal="100" zoomScaleSheetLayoutView="55" workbookViewId="0">
      <selection activeCell="A4" sqref="A4"/>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703" t="s">
        <v>568</v>
      </c>
      <c r="B1" s="703"/>
      <c r="C1" s="703"/>
      <c r="D1" s="703"/>
      <c r="E1" s="703"/>
      <c r="F1" s="703"/>
      <c r="G1" s="703"/>
      <c r="H1" s="703"/>
    </row>
    <row r="2" spans="1:26">
      <c r="B2" s="4"/>
    </row>
    <row r="3" spans="1:26" ht="18.75">
      <c r="A3" s="733" t="s">
        <v>539</v>
      </c>
      <c r="B3" s="733"/>
    </row>
    <row r="4" spans="1:26">
      <c r="A4" s="245" t="s">
        <v>0</v>
      </c>
      <c r="B4" s="263" t="s">
        <v>379</v>
      </c>
      <c r="C4" s="264"/>
      <c r="D4" s="264"/>
      <c r="E4" s="264"/>
      <c r="F4" s="264"/>
      <c r="G4" s="264"/>
      <c r="H4" s="264"/>
    </row>
    <row r="5" spans="1:26">
      <c r="A5" s="10" t="s">
        <v>482</v>
      </c>
      <c r="B5" s="242"/>
      <c r="C5" s="265"/>
      <c r="D5" s="266"/>
      <c r="E5" s="266"/>
      <c r="F5" s="266"/>
      <c r="G5" s="266"/>
      <c r="H5" s="266"/>
    </row>
    <row r="6" spans="1:26">
      <c r="A6" s="10" t="s">
        <v>483</v>
      </c>
      <c r="B6" s="242"/>
      <c r="C6" s="265"/>
      <c r="D6" s="266"/>
      <c r="E6" s="266"/>
      <c r="F6" s="266"/>
      <c r="G6" s="266"/>
      <c r="H6" s="266"/>
    </row>
    <row r="7" spans="1:26">
      <c r="A7" s="2" t="s">
        <v>1</v>
      </c>
      <c r="B7" s="288">
        <f>B5+B6</f>
        <v>0</v>
      </c>
      <c r="C7" s="267"/>
      <c r="D7" s="268"/>
      <c r="E7" s="268"/>
      <c r="F7" s="268"/>
      <c r="G7" s="268"/>
      <c r="H7" s="268"/>
    </row>
    <row r="8" spans="1:26">
      <c r="A8" s="2" t="s">
        <v>484</v>
      </c>
      <c r="B8" s="287">
        <v>2</v>
      </c>
      <c r="C8" s="267"/>
      <c r="D8" s="267"/>
      <c r="E8" s="267"/>
      <c r="F8" s="267"/>
      <c r="G8" s="267"/>
      <c r="H8" s="267"/>
    </row>
    <row r="9" spans="1:26">
      <c r="A9" s="2" t="s">
        <v>487</v>
      </c>
      <c r="B9" s="288">
        <f>B7*B8</f>
        <v>0</v>
      </c>
      <c r="C9" s="268"/>
      <c r="D9" s="268"/>
      <c r="E9" s="268"/>
      <c r="F9" s="268"/>
      <c r="G9" s="268"/>
      <c r="H9" s="268"/>
    </row>
    <row r="10" spans="1:26">
      <c r="J10" t="s">
        <v>448</v>
      </c>
      <c r="O10" t="s">
        <v>444</v>
      </c>
      <c r="U10" t="s">
        <v>445</v>
      </c>
      <c r="Y10" t="s">
        <v>446</v>
      </c>
      <c r="Z10" t="s">
        <v>447</v>
      </c>
    </row>
    <row r="11" spans="1:26" ht="18.75">
      <c r="A11" s="703" t="s">
        <v>540</v>
      </c>
      <c r="B11" s="703"/>
      <c r="C11" s="703"/>
      <c r="D11" s="703"/>
      <c r="E11" s="703"/>
      <c r="F11" s="703"/>
      <c r="G11" s="703"/>
      <c r="H11" s="703"/>
      <c r="I11" s="241"/>
      <c r="J11" s="241"/>
      <c r="K11" s="241"/>
      <c r="L11" s="241"/>
      <c r="M11" s="241"/>
      <c r="N11" s="241"/>
      <c r="O11" s="241"/>
      <c r="P11" s="241"/>
    </row>
    <row r="12" spans="1:26">
      <c r="J12" s="3">
        <v>0.65</v>
      </c>
      <c r="K12" s="259">
        <f>J12+0.05</f>
        <v>0.70000000000000007</v>
      </c>
      <c r="L12" s="259">
        <f t="shared" ref="L12:N12" si="0">K12+0.05</f>
        <v>0.75000000000000011</v>
      </c>
      <c r="M12" s="259">
        <f t="shared" si="0"/>
        <v>0.80000000000000016</v>
      </c>
      <c r="N12" s="259">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5" t="s">
        <v>381</v>
      </c>
      <c r="B13" s="245" t="s">
        <v>382</v>
      </c>
      <c r="C13" s="246" t="s">
        <v>441</v>
      </c>
      <c r="D13" s="246" t="s">
        <v>449</v>
      </c>
      <c r="E13" s="246" t="s">
        <v>450</v>
      </c>
      <c r="F13" s="246" t="s">
        <v>383</v>
      </c>
      <c r="G13" s="246" t="s">
        <v>612</v>
      </c>
      <c r="H13" s="246" t="s">
        <v>384</v>
      </c>
      <c r="O13" s="258" t="s">
        <v>2</v>
      </c>
      <c r="P13" s="258" t="s">
        <v>3</v>
      </c>
      <c r="Q13" s="258" t="s">
        <v>4</v>
      </c>
      <c r="R13" s="258" t="s">
        <v>5</v>
      </c>
      <c r="S13" s="258" t="s">
        <v>6</v>
      </c>
      <c r="T13" s="258" t="s">
        <v>2</v>
      </c>
      <c r="U13" s="258" t="s">
        <v>3</v>
      </c>
      <c r="V13" s="258" t="s">
        <v>4</v>
      </c>
      <c r="W13" s="258" t="s">
        <v>5</v>
      </c>
      <c r="X13" s="258" t="s">
        <v>6</v>
      </c>
    </row>
    <row r="14" spans="1:26">
      <c r="A14" s="737" t="s">
        <v>385</v>
      </c>
      <c r="B14" s="242" t="s">
        <v>162</v>
      </c>
      <c r="C14" s="256">
        <v>0</v>
      </c>
      <c r="D14" s="10">
        <f t="shared" ref="D14:D22" si="3">$B$9*C14</f>
        <v>0</v>
      </c>
      <c r="E14" s="243">
        <v>15</v>
      </c>
      <c r="F14" s="10">
        <f>D14*E14</f>
        <v>0</v>
      </c>
      <c r="G14" s="257">
        <v>0.1</v>
      </c>
      <c r="H14" s="10">
        <f>(F14-F14*G14)</f>
        <v>0</v>
      </c>
      <c r="J14">
        <f>$D$14*J12</f>
        <v>0</v>
      </c>
      <c r="K14">
        <f>$D$14*K12</f>
        <v>0</v>
      </c>
      <c r="L14">
        <f>$D$14*L12</f>
        <v>0</v>
      </c>
      <c r="M14">
        <f>$D$14*M12</f>
        <v>0</v>
      </c>
      <c r="N14">
        <f>$D$14*N12</f>
        <v>0</v>
      </c>
    </row>
    <row r="15" spans="1:26">
      <c r="A15" s="738"/>
      <c r="B15" s="242" t="s">
        <v>472</v>
      </c>
      <c r="C15" s="256">
        <v>0</v>
      </c>
      <c r="D15" s="10">
        <f t="shared" si="3"/>
        <v>0</v>
      </c>
      <c r="E15" s="243">
        <v>7</v>
      </c>
      <c r="F15" s="10">
        <f t="shared" ref="F15:F36" si="4">D15*E15</f>
        <v>0</v>
      </c>
      <c r="G15" s="257">
        <v>0.05</v>
      </c>
      <c r="H15" s="10">
        <f>(F15-F15*G15)</f>
        <v>0</v>
      </c>
    </row>
    <row r="16" spans="1:26">
      <c r="A16" s="738"/>
      <c r="B16" s="242" t="s">
        <v>471</v>
      </c>
      <c r="C16" s="256">
        <v>0</v>
      </c>
      <c r="D16" s="10">
        <f t="shared" si="3"/>
        <v>0</v>
      </c>
      <c r="E16" s="243">
        <v>4</v>
      </c>
      <c r="F16" s="10">
        <f t="shared" si="4"/>
        <v>0</v>
      </c>
      <c r="G16" s="257">
        <v>0</v>
      </c>
      <c r="H16" s="10">
        <f t="shared" ref="H16:H36" si="5">(F16-F16*G16)</f>
        <v>0</v>
      </c>
    </row>
    <row r="17" spans="1:8">
      <c r="A17" s="738"/>
      <c r="B17" s="242" t="s">
        <v>469</v>
      </c>
      <c r="C17" s="256">
        <v>0</v>
      </c>
      <c r="D17" s="10">
        <f t="shared" si="3"/>
        <v>0</v>
      </c>
      <c r="E17" s="243">
        <v>7</v>
      </c>
      <c r="F17" s="10">
        <f t="shared" si="4"/>
        <v>0</v>
      </c>
      <c r="G17" s="257">
        <v>0.02</v>
      </c>
      <c r="H17" s="10">
        <f t="shared" si="5"/>
        <v>0</v>
      </c>
    </row>
    <row r="18" spans="1:8">
      <c r="A18" s="738"/>
      <c r="B18" s="242" t="s">
        <v>386</v>
      </c>
      <c r="C18" s="256">
        <v>0</v>
      </c>
      <c r="D18" s="10">
        <f t="shared" si="3"/>
        <v>0</v>
      </c>
      <c r="E18" s="243">
        <v>20</v>
      </c>
      <c r="F18" s="10">
        <f t="shared" si="4"/>
        <v>0</v>
      </c>
      <c r="G18" s="257">
        <v>0</v>
      </c>
      <c r="H18" s="10">
        <f t="shared" si="5"/>
        <v>0</v>
      </c>
    </row>
    <row r="19" spans="1:8">
      <c r="A19" s="738"/>
      <c r="B19" s="242" t="s">
        <v>470</v>
      </c>
      <c r="C19" s="256">
        <v>0</v>
      </c>
      <c r="D19" s="10">
        <f t="shared" si="3"/>
        <v>0</v>
      </c>
      <c r="E19" s="243">
        <v>7</v>
      </c>
      <c r="F19" s="10">
        <f t="shared" si="4"/>
        <v>0</v>
      </c>
      <c r="G19" s="257">
        <v>0.1</v>
      </c>
      <c r="H19" s="10">
        <f t="shared" si="5"/>
        <v>0</v>
      </c>
    </row>
    <row r="20" spans="1:8">
      <c r="A20" s="738"/>
      <c r="B20" s="242" t="s">
        <v>463</v>
      </c>
      <c r="C20" s="256">
        <v>0</v>
      </c>
      <c r="D20" s="10">
        <f t="shared" si="3"/>
        <v>0</v>
      </c>
      <c r="E20" s="243">
        <v>6</v>
      </c>
      <c r="F20" s="10">
        <f t="shared" si="4"/>
        <v>0</v>
      </c>
      <c r="G20" s="257">
        <v>0.02</v>
      </c>
      <c r="H20" s="10">
        <f t="shared" si="5"/>
        <v>0</v>
      </c>
    </row>
    <row r="21" spans="1:8">
      <c r="A21" s="738"/>
      <c r="B21" s="242" t="s">
        <v>390</v>
      </c>
      <c r="C21" s="256">
        <v>0</v>
      </c>
      <c r="D21" s="10">
        <f t="shared" si="3"/>
        <v>0</v>
      </c>
      <c r="E21" s="243"/>
      <c r="F21" s="10">
        <f t="shared" si="4"/>
        <v>0</v>
      </c>
      <c r="G21" s="257">
        <v>0</v>
      </c>
      <c r="H21" s="10">
        <f t="shared" si="5"/>
        <v>0</v>
      </c>
    </row>
    <row r="22" spans="1:8">
      <c r="A22" s="739"/>
      <c r="B22" s="242" t="s">
        <v>473</v>
      </c>
      <c r="C22" s="256">
        <v>0</v>
      </c>
      <c r="D22" s="10">
        <f t="shared" si="3"/>
        <v>0</v>
      </c>
      <c r="E22" s="243"/>
      <c r="F22" s="10">
        <f t="shared" si="4"/>
        <v>0</v>
      </c>
      <c r="G22" s="257">
        <v>0</v>
      </c>
      <c r="H22" s="10">
        <f t="shared" si="5"/>
        <v>0</v>
      </c>
    </row>
    <row r="23" spans="1:8">
      <c r="A23" s="271" t="s">
        <v>477</v>
      </c>
      <c r="B23" s="281">
        <v>0.3</v>
      </c>
      <c r="C23" s="282">
        <f>B9*B23</f>
        <v>0</v>
      </c>
      <c r="D23" s="10"/>
      <c r="E23" s="243"/>
      <c r="F23" s="10"/>
      <c r="G23" s="257"/>
      <c r="H23" s="10"/>
    </row>
    <row r="24" spans="1:8">
      <c r="A24" s="737" t="s">
        <v>387</v>
      </c>
      <c r="B24" s="242" t="s">
        <v>388</v>
      </c>
      <c r="C24" s="256">
        <v>0</v>
      </c>
      <c r="D24" s="10">
        <f>C$23*C24</f>
        <v>0</v>
      </c>
      <c r="E24" s="243">
        <v>10</v>
      </c>
      <c r="F24" s="10">
        <f t="shared" si="4"/>
        <v>0</v>
      </c>
      <c r="G24" s="257">
        <v>0.1</v>
      </c>
      <c r="H24" s="10">
        <f t="shared" si="5"/>
        <v>0</v>
      </c>
    </row>
    <row r="25" spans="1:8">
      <c r="A25" s="738"/>
      <c r="B25" s="242" t="s">
        <v>389</v>
      </c>
      <c r="C25" s="256">
        <v>0</v>
      </c>
      <c r="D25" s="10">
        <f>C$23*C25</f>
        <v>0</v>
      </c>
      <c r="E25" s="243">
        <v>10</v>
      </c>
      <c r="F25" s="10">
        <f t="shared" si="4"/>
        <v>0</v>
      </c>
      <c r="G25" s="257">
        <v>0.1</v>
      </c>
      <c r="H25" s="10">
        <f t="shared" si="5"/>
        <v>0</v>
      </c>
    </row>
    <row r="26" spans="1:8">
      <c r="A26" s="738"/>
      <c r="B26" s="242" t="s">
        <v>390</v>
      </c>
      <c r="C26" s="256">
        <v>0</v>
      </c>
      <c r="D26" s="10">
        <f>C$23*C26</f>
        <v>0</v>
      </c>
      <c r="E26" s="243">
        <v>10</v>
      </c>
      <c r="F26" s="10">
        <f t="shared" si="4"/>
        <v>0</v>
      </c>
      <c r="G26" s="257">
        <v>0.05</v>
      </c>
      <c r="H26" s="10">
        <f t="shared" si="5"/>
        <v>0</v>
      </c>
    </row>
    <row r="27" spans="1:8">
      <c r="A27" s="738"/>
      <c r="B27" s="242" t="s">
        <v>386</v>
      </c>
      <c r="C27" s="256">
        <v>0</v>
      </c>
      <c r="D27" s="10">
        <f t="shared" ref="D27:D31" si="6">C$23*C27</f>
        <v>0</v>
      </c>
      <c r="E27" s="243">
        <v>20</v>
      </c>
      <c r="F27" s="10">
        <f t="shared" si="4"/>
        <v>0</v>
      </c>
      <c r="G27" s="257">
        <v>0</v>
      </c>
      <c r="H27" s="10">
        <f t="shared" si="5"/>
        <v>0</v>
      </c>
    </row>
    <row r="28" spans="1:8">
      <c r="A28" s="738"/>
      <c r="B28" s="242" t="s">
        <v>474</v>
      </c>
      <c r="C28" s="256">
        <v>0</v>
      </c>
      <c r="D28" s="10">
        <f t="shared" si="6"/>
        <v>0</v>
      </c>
      <c r="E28" s="243"/>
      <c r="F28" s="10">
        <f t="shared" si="4"/>
        <v>0</v>
      </c>
      <c r="G28" s="257">
        <v>0</v>
      </c>
      <c r="H28" s="10">
        <f t="shared" si="5"/>
        <v>0</v>
      </c>
    </row>
    <row r="29" spans="1:8">
      <c r="A29" s="738"/>
      <c r="B29" s="242"/>
      <c r="C29" s="256">
        <v>0</v>
      </c>
      <c r="D29" s="10">
        <f t="shared" si="6"/>
        <v>0</v>
      </c>
      <c r="E29" s="243"/>
      <c r="F29" s="10">
        <f t="shared" si="4"/>
        <v>0</v>
      </c>
      <c r="G29" s="257">
        <v>0</v>
      </c>
      <c r="H29" s="10">
        <f t="shared" si="5"/>
        <v>0</v>
      </c>
    </row>
    <row r="30" spans="1:8">
      <c r="A30" s="738"/>
      <c r="B30" s="242"/>
      <c r="C30" s="256">
        <v>0</v>
      </c>
      <c r="D30" s="10">
        <f t="shared" si="6"/>
        <v>0</v>
      </c>
      <c r="E30" s="243"/>
      <c r="F30" s="10">
        <f t="shared" si="4"/>
        <v>0</v>
      </c>
      <c r="G30" s="257">
        <v>0</v>
      </c>
      <c r="H30" s="10">
        <f t="shared" si="5"/>
        <v>0</v>
      </c>
    </row>
    <row r="31" spans="1:8">
      <c r="A31" s="739"/>
      <c r="B31" s="242"/>
      <c r="C31" s="256">
        <v>0</v>
      </c>
      <c r="D31" s="10">
        <f t="shared" si="6"/>
        <v>0</v>
      </c>
      <c r="E31" s="243"/>
      <c r="F31" s="10">
        <f t="shared" si="4"/>
        <v>0</v>
      </c>
      <c r="G31" s="257">
        <v>0</v>
      </c>
      <c r="H31" s="10">
        <f t="shared" si="5"/>
        <v>0</v>
      </c>
    </row>
    <row r="32" spans="1:8">
      <c r="A32" s="271" t="s">
        <v>476</v>
      </c>
      <c r="B32" s="281">
        <v>0.05</v>
      </c>
      <c r="C32" s="250">
        <f>B9*B32</f>
        <v>0</v>
      </c>
      <c r="D32" s="10"/>
      <c r="E32" s="243"/>
      <c r="F32" s="10"/>
      <c r="G32" s="257"/>
      <c r="H32" s="10"/>
    </row>
    <row r="33" spans="1:8">
      <c r="A33" s="283" t="s">
        <v>454</v>
      </c>
      <c r="B33" s="242" t="s">
        <v>475</v>
      </c>
      <c r="C33" s="256">
        <v>0</v>
      </c>
      <c r="D33" s="10">
        <f>C$32*C33</f>
        <v>0</v>
      </c>
      <c r="E33" s="243"/>
      <c r="F33" s="10">
        <f t="shared" si="4"/>
        <v>0</v>
      </c>
      <c r="G33" s="257">
        <v>0</v>
      </c>
      <c r="H33" s="10">
        <f t="shared" si="5"/>
        <v>0</v>
      </c>
    </row>
    <row r="34" spans="1:8">
      <c r="A34" s="284"/>
      <c r="B34" s="242"/>
      <c r="C34" s="256">
        <v>0</v>
      </c>
      <c r="D34" s="10">
        <f>C$32*C34</f>
        <v>0</v>
      </c>
      <c r="E34" s="243"/>
      <c r="F34" s="10">
        <f t="shared" si="4"/>
        <v>0</v>
      </c>
      <c r="G34" s="257">
        <v>0</v>
      </c>
      <c r="H34" s="10">
        <f t="shared" si="5"/>
        <v>0</v>
      </c>
    </row>
    <row r="35" spans="1:8">
      <c r="A35" s="284"/>
      <c r="B35" s="242"/>
      <c r="C35" s="256">
        <v>0</v>
      </c>
      <c r="D35" s="10">
        <f>C$32*C35</f>
        <v>0</v>
      </c>
      <c r="E35" s="243"/>
      <c r="F35" s="10">
        <f t="shared" si="4"/>
        <v>0</v>
      </c>
      <c r="G35" s="257">
        <v>0</v>
      </c>
      <c r="H35" s="10">
        <f t="shared" si="5"/>
        <v>0</v>
      </c>
    </row>
    <row r="36" spans="1:8">
      <c r="A36" s="285"/>
      <c r="B36" s="242"/>
      <c r="C36" s="256">
        <v>0</v>
      </c>
      <c r="D36" s="10">
        <f>C$32*C36</f>
        <v>0</v>
      </c>
      <c r="E36" s="243"/>
      <c r="F36" s="10">
        <f t="shared" si="4"/>
        <v>0</v>
      </c>
      <c r="G36" s="257">
        <v>0</v>
      </c>
      <c r="H36" s="10">
        <f t="shared" si="5"/>
        <v>0</v>
      </c>
    </row>
    <row r="37" spans="1:8">
      <c r="A37" s="736" t="s">
        <v>391</v>
      </c>
      <c r="B37" s="736"/>
      <c r="C37" s="736"/>
      <c r="D37" s="736"/>
      <c r="E37" s="736"/>
      <c r="F37" s="736"/>
      <c r="G37" s="736"/>
      <c r="H37" s="736"/>
    </row>
    <row r="39" spans="1:8" ht="18.75">
      <c r="A39" s="740" t="s">
        <v>541</v>
      </c>
      <c r="B39" s="741"/>
      <c r="C39" s="741"/>
      <c r="D39" s="741"/>
      <c r="E39" s="741"/>
      <c r="F39" s="741"/>
      <c r="G39" s="741"/>
      <c r="H39" s="742"/>
    </row>
    <row r="40" spans="1:8">
      <c r="A40" s="743" t="s">
        <v>0</v>
      </c>
      <c r="B40" s="272">
        <v>0.3</v>
      </c>
      <c r="C40" s="272">
        <f>B40+0.05</f>
        <v>0.35</v>
      </c>
      <c r="D40" s="272">
        <f t="shared" ref="D40:G40" si="7">C40+0.05</f>
        <v>0.39999999999999997</v>
      </c>
      <c r="E40" s="272">
        <f t="shared" si="7"/>
        <v>0.44999999999999996</v>
      </c>
      <c r="F40" s="272">
        <f t="shared" si="7"/>
        <v>0.49999999999999994</v>
      </c>
      <c r="G40" s="272">
        <f t="shared" si="7"/>
        <v>0.54999999999999993</v>
      </c>
      <c r="H40" s="272">
        <f>G40+0.05</f>
        <v>0.6</v>
      </c>
    </row>
    <row r="41" spans="1:8">
      <c r="A41" s="744"/>
      <c r="B41" s="263" t="s">
        <v>2</v>
      </c>
      <c r="C41" s="263" t="s">
        <v>3</v>
      </c>
      <c r="D41" s="263" t="s">
        <v>4</v>
      </c>
      <c r="E41" s="263" t="s">
        <v>5</v>
      </c>
      <c r="F41" s="263" t="s">
        <v>6</v>
      </c>
      <c r="G41" s="263" t="s">
        <v>164</v>
      </c>
      <c r="H41" s="263" t="s">
        <v>163</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745" t="s">
        <v>542</v>
      </c>
      <c r="B64" s="746"/>
      <c r="C64" s="746"/>
      <c r="D64" s="746"/>
      <c r="E64" s="746"/>
      <c r="F64" s="746"/>
      <c r="G64" s="746"/>
      <c r="H64" s="747"/>
    </row>
    <row r="65" spans="1:8">
      <c r="A65" s="748" t="s">
        <v>0</v>
      </c>
      <c r="B65" s="273">
        <v>0.1</v>
      </c>
      <c r="C65" s="273">
        <f>B65+0.05</f>
        <v>0.15000000000000002</v>
      </c>
      <c r="D65" s="273">
        <f t="shared" ref="D65:G65" si="15">C65+0.05</f>
        <v>0.2</v>
      </c>
      <c r="E65" s="273">
        <f t="shared" si="15"/>
        <v>0.25</v>
      </c>
      <c r="F65" s="273">
        <f t="shared" si="15"/>
        <v>0.3</v>
      </c>
      <c r="G65" s="273">
        <f t="shared" si="15"/>
        <v>0.35</v>
      </c>
      <c r="H65" s="273">
        <f>G65+0.05</f>
        <v>0.39999999999999997</v>
      </c>
    </row>
    <row r="66" spans="1:8">
      <c r="A66" s="749"/>
      <c r="B66" s="263" t="s">
        <v>2</v>
      </c>
      <c r="C66" s="263" t="s">
        <v>3</v>
      </c>
      <c r="D66" s="263" t="s">
        <v>4</v>
      </c>
      <c r="E66" s="263" t="s">
        <v>5</v>
      </c>
      <c r="F66" s="263" t="s">
        <v>6</v>
      </c>
      <c r="G66" s="263" t="s">
        <v>164</v>
      </c>
      <c r="H66" s="263" t="s">
        <v>163</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51"/>
      <c r="C88" s="251"/>
      <c r="D88" s="251"/>
      <c r="E88" s="251"/>
      <c r="F88" s="251"/>
      <c r="G88" s="251"/>
      <c r="H88" s="251"/>
      <c r="I88" s="251"/>
    </row>
    <row r="89" spans="1:9">
      <c r="A89" s="750" t="s">
        <v>543</v>
      </c>
      <c r="B89" s="751"/>
      <c r="C89" s="751"/>
      <c r="D89" s="751"/>
      <c r="E89" s="751"/>
      <c r="F89" s="751"/>
      <c r="G89" s="751"/>
      <c r="H89" s="752"/>
    </row>
    <row r="90" spans="1:9">
      <c r="A90" s="734" t="s">
        <v>0</v>
      </c>
      <c r="B90" s="294">
        <v>0.65</v>
      </c>
      <c r="C90" s="295">
        <f>B90+0.05</f>
        <v>0.70000000000000007</v>
      </c>
      <c r="D90" s="295">
        <f t="shared" ref="D90:G90" si="39">C90+0.05</f>
        <v>0.75000000000000011</v>
      </c>
      <c r="E90" s="295">
        <f t="shared" si="39"/>
        <v>0.80000000000000016</v>
      </c>
      <c r="F90" s="295">
        <f t="shared" si="39"/>
        <v>0.8500000000000002</v>
      </c>
      <c r="G90" s="295">
        <f t="shared" si="39"/>
        <v>0.90000000000000024</v>
      </c>
      <c r="H90" s="295">
        <f>G90+0.05</f>
        <v>0.95000000000000029</v>
      </c>
    </row>
    <row r="91" spans="1:9">
      <c r="A91" s="735"/>
      <c r="B91" s="263" t="s">
        <v>2</v>
      </c>
      <c r="C91" s="263" t="s">
        <v>3</v>
      </c>
      <c r="D91" s="263" t="s">
        <v>4</v>
      </c>
      <c r="E91" s="263" t="s">
        <v>5</v>
      </c>
      <c r="F91" s="263" t="s">
        <v>6</v>
      </c>
      <c r="G91" s="263" t="s">
        <v>164</v>
      </c>
      <c r="H91" s="263" t="s">
        <v>163</v>
      </c>
    </row>
    <row r="92" spans="1:9" s="13" customFormat="1">
      <c r="A92" s="10" t="str">
        <f t="shared" ref="A92:A112" si="40">A67</f>
        <v>Soybean</v>
      </c>
      <c r="B92" s="10">
        <f t="shared" ref="B92:B100" si="41">D14*$B$90</f>
        <v>0</v>
      </c>
      <c r="C92" s="260">
        <f t="shared" ref="C92:H92" si="42">(B92/B$90)*C$90</f>
        <v>0</v>
      </c>
      <c r="D92" s="260">
        <f t="shared" si="42"/>
        <v>0</v>
      </c>
      <c r="E92" s="260">
        <f t="shared" si="42"/>
        <v>0</v>
      </c>
      <c r="F92" s="260">
        <f t="shared" si="42"/>
        <v>0</v>
      </c>
      <c r="G92" s="260">
        <f t="shared" si="42"/>
        <v>0</v>
      </c>
      <c r="H92" s="260">
        <f t="shared" si="42"/>
        <v>0</v>
      </c>
    </row>
    <row r="93" spans="1:9">
      <c r="A93" s="10" t="str">
        <f t="shared" si="40"/>
        <v>Red Gram/Tur</v>
      </c>
      <c r="B93" s="10">
        <f t="shared" si="41"/>
        <v>0</v>
      </c>
      <c r="C93" s="260">
        <f t="shared" ref="C93:C113" si="43">(B93/B$90)*C$90</f>
        <v>0</v>
      </c>
      <c r="D93" s="260">
        <f>(C93/C90)*D90</f>
        <v>0</v>
      </c>
      <c r="E93" s="260">
        <f t="shared" ref="E93:G93" si="44">(D93/D90)*E90</f>
        <v>0</v>
      </c>
      <c r="F93" s="260">
        <f t="shared" si="44"/>
        <v>0</v>
      </c>
      <c r="G93" s="260">
        <f t="shared" si="44"/>
        <v>0</v>
      </c>
      <c r="H93" s="260">
        <f>(G93/G90)*H90</f>
        <v>0</v>
      </c>
    </row>
    <row r="94" spans="1:9">
      <c r="A94" s="10" t="str">
        <f t="shared" si="40"/>
        <v>Paddy/Rice</v>
      </c>
      <c r="B94" s="10">
        <f t="shared" si="41"/>
        <v>0</v>
      </c>
      <c r="C94" s="260">
        <f t="shared" si="43"/>
        <v>0</v>
      </c>
      <c r="D94" s="260">
        <f t="shared" ref="D94:H103" si="45">(C94/C$90)*D$90</f>
        <v>0</v>
      </c>
      <c r="E94" s="260">
        <f t="shared" si="45"/>
        <v>0</v>
      </c>
      <c r="F94" s="260">
        <f t="shared" si="45"/>
        <v>0</v>
      </c>
      <c r="G94" s="260">
        <f t="shared" si="45"/>
        <v>0</v>
      </c>
      <c r="H94" s="260">
        <f t="shared" si="45"/>
        <v>0</v>
      </c>
    </row>
    <row r="95" spans="1:9">
      <c r="A95" s="10" t="str">
        <f t="shared" si="40"/>
        <v>Green Gram/ Moong</v>
      </c>
      <c r="B95" s="10">
        <f t="shared" si="41"/>
        <v>0</v>
      </c>
      <c r="C95" s="260">
        <f t="shared" si="43"/>
        <v>0</v>
      </c>
      <c r="D95" s="260">
        <f t="shared" si="45"/>
        <v>0</v>
      </c>
      <c r="E95" s="260">
        <f t="shared" si="45"/>
        <v>0</v>
      </c>
      <c r="F95" s="260">
        <f t="shared" si="45"/>
        <v>0</v>
      </c>
      <c r="G95" s="260">
        <f t="shared" si="45"/>
        <v>0</v>
      </c>
      <c r="H95" s="260">
        <f t="shared" si="45"/>
        <v>0</v>
      </c>
    </row>
    <row r="96" spans="1:9">
      <c r="A96" s="10" t="str">
        <f t="shared" si="40"/>
        <v>Maize</v>
      </c>
      <c r="B96" s="260">
        <f t="shared" si="41"/>
        <v>0</v>
      </c>
      <c r="C96" s="260">
        <f t="shared" si="43"/>
        <v>0</v>
      </c>
      <c r="D96" s="260">
        <f t="shared" si="45"/>
        <v>0</v>
      </c>
      <c r="E96" s="260">
        <f t="shared" si="45"/>
        <v>0</v>
      </c>
      <c r="F96" s="260">
        <f t="shared" si="45"/>
        <v>0</v>
      </c>
      <c r="G96" s="260">
        <f t="shared" si="45"/>
        <v>0</v>
      </c>
      <c r="H96" s="260">
        <f t="shared" si="45"/>
        <v>0</v>
      </c>
    </row>
    <row r="97" spans="1:8">
      <c r="A97" s="10" t="str">
        <f t="shared" si="40"/>
        <v>Black Gram/Udid</v>
      </c>
      <c r="B97" s="10">
        <f t="shared" si="41"/>
        <v>0</v>
      </c>
      <c r="C97" s="260">
        <f t="shared" si="43"/>
        <v>0</v>
      </c>
      <c r="D97" s="260">
        <f t="shared" si="45"/>
        <v>0</v>
      </c>
      <c r="E97" s="260">
        <f t="shared" si="45"/>
        <v>0</v>
      </c>
      <c r="F97" s="260">
        <f t="shared" si="45"/>
        <v>0</v>
      </c>
      <c r="G97" s="260">
        <f t="shared" si="45"/>
        <v>0</v>
      </c>
      <c r="H97" s="260">
        <f t="shared" si="45"/>
        <v>0</v>
      </c>
    </row>
    <row r="98" spans="1:8">
      <c r="A98" s="10" t="str">
        <f t="shared" si="40"/>
        <v>Bajra</v>
      </c>
      <c r="B98" s="10">
        <f t="shared" si="41"/>
        <v>0</v>
      </c>
      <c r="C98" s="260">
        <f t="shared" si="43"/>
        <v>0</v>
      </c>
      <c r="D98" s="260">
        <f t="shared" si="45"/>
        <v>0</v>
      </c>
      <c r="E98" s="260">
        <f t="shared" si="45"/>
        <v>0</v>
      </c>
      <c r="F98" s="260">
        <f t="shared" si="45"/>
        <v>0</v>
      </c>
      <c r="G98" s="260">
        <f t="shared" si="45"/>
        <v>0</v>
      </c>
      <c r="H98" s="260">
        <f t="shared" si="45"/>
        <v>0</v>
      </c>
    </row>
    <row r="99" spans="1:8">
      <c r="A99" s="10" t="str">
        <f t="shared" si="40"/>
        <v>Jawar</v>
      </c>
      <c r="B99" s="10">
        <f t="shared" si="41"/>
        <v>0</v>
      </c>
      <c r="C99" s="260">
        <f t="shared" si="43"/>
        <v>0</v>
      </c>
      <c r="D99" s="260">
        <f t="shared" si="45"/>
        <v>0</v>
      </c>
      <c r="E99" s="260">
        <f t="shared" si="45"/>
        <v>0</v>
      </c>
      <c r="F99" s="260">
        <f t="shared" si="45"/>
        <v>0</v>
      </c>
      <c r="G99" s="260">
        <f t="shared" si="45"/>
        <v>0</v>
      </c>
      <c r="H99" s="260">
        <f t="shared" si="45"/>
        <v>0</v>
      </c>
    </row>
    <row r="100" spans="1:8">
      <c r="A100" s="10" t="str">
        <f t="shared" si="40"/>
        <v>Sunflower</v>
      </c>
      <c r="B100" s="10">
        <f t="shared" si="41"/>
        <v>0</v>
      </c>
      <c r="C100" s="260">
        <f t="shared" si="43"/>
        <v>0</v>
      </c>
      <c r="D100" s="260">
        <f t="shared" si="45"/>
        <v>0</v>
      </c>
      <c r="E100" s="260">
        <f t="shared" si="45"/>
        <v>0</v>
      </c>
      <c r="F100" s="260">
        <f t="shared" si="45"/>
        <v>0</v>
      </c>
      <c r="G100" s="260">
        <f t="shared" si="45"/>
        <v>0</v>
      </c>
      <c r="H100" s="260">
        <f t="shared" si="45"/>
        <v>0</v>
      </c>
    </row>
    <row r="101" spans="1:8">
      <c r="A101" s="10" t="str">
        <f t="shared" si="40"/>
        <v>Wheat</v>
      </c>
      <c r="B101" s="10">
        <f t="shared" ref="B101:B108" si="46">D24*$B$90</f>
        <v>0</v>
      </c>
      <c r="C101" s="260">
        <f t="shared" si="43"/>
        <v>0</v>
      </c>
      <c r="D101" s="260">
        <f t="shared" si="45"/>
        <v>0</v>
      </c>
      <c r="E101" s="260">
        <f t="shared" si="45"/>
        <v>0</v>
      </c>
      <c r="F101" s="260">
        <f t="shared" si="45"/>
        <v>0</v>
      </c>
      <c r="G101" s="260">
        <f t="shared" si="45"/>
        <v>0</v>
      </c>
      <c r="H101" s="260">
        <f t="shared" si="45"/>
        <v>0</v>
      </c>
    </row>
    <row r="102" spans="1:8">
      <c r="A102" s="10" t="str">
        <f t="shared" si="40"/>
        <v>Bengal Gram/Channa</v>
      </c>
      <c r="B102" s="10">
        <f t="shared" si="46"/>
        <v>0</v>
      </c>
      <c r="C102" s="260">
        <f t="shared" si="43"/>
        <v>0</v>
      </c>
      <c r="D102" s="260">
        <f t="shared" si="45"/>
        <v>0</v>
      </c>
      <c r="E102" s="260">
        <f t="shared" si="45"/>
        <v>0</v>
      </c>
      <c r="F102" s="260">
        <f t="shared" si="45"/>
        <v>0</v>
      </c>
      <c r="G102" s="260">
        <f t="shared" si="45"/>
        <v>0</v>
      </c>
      <c r="H102" s="260">
        <f t="shared" si="45"/>
        <v>0</v>
      </c>
    </row>
    <row r="103" spans="1:8">
      <c r="A103" s="10" t="str">
        <f t="shared" si="40"/>
        <v>Jawar</v>
      </c>
      <c r="B103" s="10">
        <f t="shared" si="46"/>
        <v>0</v>
      </c>
      <c r="C103" s="260">
        <f t="shared" si="43"/>
        <v>0</v>
      </c>
      <c r="D103" s="260">
        <f t="shared" si="45"/>
        <v>0</v>
      </c>
      <c r="E103" s="260">
        <f t="shared" si="45"/>
        <v>0</v>
      </c>
      <c r="F103" s="260">
        <f t="shared" si="45"/>
        <v>0</v>
      </c>
      <c r="G103" s="260">
        <f t="shared" si="45"/>
        <v>0</v>
      </c>
      <c r="H103" s="260">
        <f t="shared" si="45"/>
        <v>0</v>
      </c>
    </row>
    <row r="104" spans="1:8">
      <c r="A104" s="10" t="str">
        <f t="shared" si="40"/>
        <v>Maize</v>
      </c>
      <c r="B104" s="10">
        <f t="shared" si="46"/>
        <v>0</v>
      </c>
      <c r="C104" s="260">
        <f t="shared" si="43"/>
        <v>0</v>
      </c>
      <c r="D104" s="260">
        <f t="shared" ref="D104:H113" si="47">(C104/C$90)*D$90</f>
        <v>0</v>
      </c>
      <c r="E104" s="260">
        <f t="shared" si="47"/>
        <v>0</v>
      </c>
      <c r="F104" s="260">
        <f t="shared" si="47"/>
        <v>0</v>
      </c>
      <c r="G104" s="260">
        <f t="shared" si="47"/>
        <v>0</v>
      </c>
      <c r="H104" s="260">
        <f t="shared" si="47"/>
        <v>0</v>
      </c>
    </row>
    <row r="105" spans="1:8">
      <c r="A105" s="10" t="str">
        <f t="shared" si="40"/>
        <v>Safflower</v>
      </c>
      <c r="B105" s="10">
        <f t="shared" si="46"/>
        <v>0</v>
      </c>
      <c r="C105" s="260">
        <f t="shared" si="43"/>
        <v>0</v>
      </c>
      <c r="D105" s="260">
        <f t="shared" si="47"/>
        <v>0</v>
      </c>
      <c r="E105" s="260">
        <f t="shared" si="47"/>
        <v>0</v>
      </c>
      <c r="F105" s="260">
        <f t="shared" si="47"/>
        <v>0</v>
      </c>
      <c r="G105" s="260">
        <f t="shared" si="47"/>
        <v>0</v>
      </c>
      <c r="H105" s="260">
        <f t="shared" si="47"/>
        <v>0</v>
      </c>
    </row>
    <row r="106" spans="1:8">
      <c r="A106" s="10">
        <f t="shared" si="40"/>
        <v>0</v>
      </c>
      <c r="B106" s="10">
        <f t="shared" si="46"/>
        <v>0</v>
      </c>
      <c r="C106" s="260">
        <f t="shared" si="43"/>
        <v>0</v>
      </c>
      <c r="D106" s="260">
        <f t="shared" si="47"/>
        <v>0</v>
      </c>
      <c r="E106" s="260">
        <f t="shared" si="47"/>
        <v>0</v>
      </c>
      <c r="F106" s="260">
        <f t="shared" si="47"/>
        <v>0</v>
      </c>
      <c r="G106" s="260">
        <f t="shared" si="47"/>
        <v>0</v>
      </c>
      <c r="H106" s="260">
        <f t="shared" si="47"/>
        <v>0</v>
      </c>
    </row>
    <row r="107" spans="1:8">
      <c r="A107" s="10">
        <f t="shared" si="40"/>
        <v>0</v>
      </c>
      <c r="B107" s="10">
        <f t="shared" si="46"/>
        <v>0</v>
      </c>
      <c r="C107" s="260">
        <f t="shared" si="43"/>
        <v>0</v>
      </c>
      <c r="D107" s="260">
        <f t="shared" si="47"/>
        <v>0</v>
      </c>
      <c r="E107" s="260">
        <f t="shared" si="47"/>
        <v>0</v>
      </c>
      <c r="F107" s="260">
        <f t="shared" si="47"/>
        <v>0</v>
      </c>
      <c r="G107" s="260">
        <f t="shared" si="47"/>
        <v>0</v>
      </c>
      <c r="H107" s="260">
        <f t="shared" si="47"/>
        <v>0</v>
      </c>
    </row>
    <row r="108" spans="1:8">
      <c r="A108" s="10">
        <f t="shared" si="40"/>
        <v>0</v>
      </c>
      <c r="B108" s="10">
        <f t="shared" si="46"/>
        <v>0</v>
      </c>
      <c r="C108" s="260">
        <f t="shared" si="43"/>
        <v>0</v>
      </c>
      <c r="D108" s="260">
        <f t="shared" si="47"/>
        <v>0</v>
      </c>
      <c r="E108" s="260">
        <f t="shared" si="47"/>
        <v>0</v>
      </c>
      <c r="F108" s="260">
        <f t="shared" si="47"/>
        <v>0</v>
      </c>
      <c r="G108" s="260">
        <f t="shared" si="47"/>
        <v>0</v>
      </c>
      <c r="H108" s="260">
        <f t="shared" si="47"/>
        <v>0</v>
      </c>
    </row>
    <row r="109" spans="1:8">
      <c r="A109" s="10" t="str">
        <f t="shared" si="40"/>
        <v>Groundnut</v>
      </c>
      <c r="B109" s="10">
        <f>D33*$B$90</f>
        <v>0</v>
      </c>
      <c r="C109" s="260">
        <f t="shared" si="43"/>
        <v>0</v>
      </c>
      <c r="D109" s="260">
        <f t="shared" si="47"/>
        <v>0</v>
      </c>
      <c r="E109" s="260">
        <f t="shared" si="47"/>
        <v>0</v>
      </c>
      <c r="F109" s="260">
        <f t="shared" si="47"/>
        <v>0</v>
      </c>
      <c r="G109" s="260">
        <f t="shared" si="47"/>
        <v>0</v>
      </c>
      <c r="H109" s="260">
        <f t="shared" si="47"/>
        <v>0</v>
      </c>
    </row>
    <row r="110" spans="1:8">
      <c r="A110" s="10">
        <f t="shared" si="40"/>
        <v>0</v>
      </c>
      <c r="B110" s="10">
        <f>D34*$B$90</f>
        <v>0</v>
      </c>
      <c r="C110" s="260">
        <f t="shared" si="43"/>
        <v>0</v>
      </c>
      <c r="D110" s="260">
        <f t="shared" si="47"/>
        <v>0</v>
      </c>
      <c r="E110" s="260">
        <f t="shared" si="47"/>
        <v>0</v>
      </c>
      <c r="F110" s="260">
        <f t="shared" si="47"/>
        <v>0</v>
      </c>
      <c r="G110" s="260">
        <f t="shared" si="47"/>
        <v>0</v>
      </c>
      <c r="H110" s="260">
        <f t="shared" si="47"/>
        <v>0</v>
      </c>
    </row>
    <row r="111" spans="1:8">
      <c r="A111" s="10">
        <f t="shared" si="40"/>
        <v>0</v>
      </c>
      <c r="B111" s="10">
        <f>D34*$B$90</f>
        <v>0</v>
      </c>
      <c r="C111" s="260">
        <f t="shared" si="43"/>
        <v>0</v>
      </c>
      <c r="D111" s="260">
        <f t="shared" si="47"/>
        <v>0</v>
      </c>
      <c r="E111" s="260">
        <f t="shared" si="47"/>
        <v>0</v>
      </c>
      <c r="F111" s="260">
        <f t="shared" si="47"/>
        <v>0</v>
      </c>
      <c r="G111" s="260">
        <f t="shared" si="47"/>
        <v>0</v>
      </c>
      <c r="H111" s="260">
        <f t="shared" si="47"/>
        <v>0</v>
      </c>
    </row>
    <row r="112" spans="1:8">
      <c r="A112" s="10">
        <f t="shared" si="40"/>
        <v>0</v>
      </c>
      <c r="B112" s="10">
        <f>D36*$B$90</f>
        <v>0</v>
      </c>
      <c r="C112" s="260">
        <f t="shared" si="43"/>
        <v>0</v>
      </c>
      <c r="D112" s="260">
        <f t="shared" si="47"/>
        <v>0</v>
      </c>
      <c r="E112" s="260">
        <f t="shared" si="47"/>
        <v>0</v>
      </c>
      <c r="F112" s="260">
        <f t="shared" si="47"/>
        <v>0</v>
      </c>
      <c r="G112" s="260">
        <f t="shared" si="47"/>
        <v>0</v>
      </c>
      <c r="H112" s="260">
        <f t="shared" si="47"/>
        <v>0</v>
      </c>
    </row>
    <row r="113" spans="1:9">
      <c r="A113" s="10"/>
      <c r="B113" s="10">
        <f>D37*$B$90</f>
        <v>0</v>
      </c>
      <c r="C113" s="260">
        <f t="shared" si="43"/>
        <v>0</v>
      </c>
      <c r="D113" s="260">
        <f t="shared" si="47"/>
        <v>0</v>
      </c>
      <c r="E113" s="260">
        <f t="shared" si="47"/>
        <v>0</v>
      </c>
      <c r="F113" s="260">
        <f t="shared" si="47"/>
        <v>0</v>
      </c>
      <c r="G113" s="260">
        <f t="shared" si="47"/>
        <v>0</v>
      </c>
      <c r="H113" s="260">
        <f t="shared" si="47"/>
        <v>0</v>
      </c>
    </row>
    <row r="115" spans="1:9">
      <c r="C115" s="4"/>
      <c r="D115" s="6"/>
      <c r="E115" s="6"/>
      <c r="F115" s="6"/>
      <c r="G115" s="6"/>
      <c r="H115" s="6"/>
      <c r="I115" s="6"/>
    </row>
    <row r="116" spans="1:9">
      <c r="A116" t="s">
        <v>512</v>
      </c>
      <c r="C116" s="261"/>
      <c r="D116" s="261"/>
      <c r="E116" s="261"/>
      <c r="F116" s="261"/>
      <c r="G116" s="261"/>
      <c r="H116" s="261"/>
      <c r="I116" s="261"/>
    </row>
    <row r="117" spans="1:9">
      <c r="A117">
        <v>1</v>
      </c>
      <c r="B117" t="s">
        <v>564</v>
      </c>
    </row>
    <row r="118" spans="1:9">
      <c r="A118">
        <v>2</v>
      </c>
      <c r="B118" t="s">
        <v>565</v>
      </c>
    </row>
    <row r="119" spans="1:9">
      <c r="A119">
        <v>3</v>
      </c>
      <c r="B119" t="s">
        <v>515</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21" zoomScale="80" zoomScaleSheetLayoutView="80" workbookViewId="0">
      <selection activeCell="I36" sqref="A4:I36"/>
    </sheetView>
  </sheetViews>
  <sheetFormatPr defaultRowHeight="15"/>
  <cols>
    <col min="1" max="1" width="3.5703125" bestFit="1" customWidth="1"/>
    <col min="2" max="2" width="35.7109375" bestFit="1" customWidth="1"/>
    <col min="3" max="9" width="12.5703125" customWidth="1"/>
  </cols>
  <sheetData>
    <row r="1" spans="1:11">
      <c r="A1" s="730"/>
      <c r="B1" s="730"/>
      <c r="C1" s="730"/>
      <c r="D1" s="730"/>
      <c r="E1" s="730"/>
      <c r="F1" s="730"/>
      <c r="G1" s="730"/>
    </row>
    <row r="2" spans="1:11" ht="18.75">
      <c r="A2" s="701" t="s">
        <v>531</v>
      </c>
      <c r="B2" s="701"/>
      <c r="C2" s="701"/>
      <c r="D2" s="701"/>
      <c r="E2" s="701"/>
      <c r="F2" s="701"/>
      <c r="G2" s="701"/>
      <c r="H2" s="701"/>
      <c r="I2" s="701"/>
      <c r="J2" s="71"/>
    </row>
    <row r="4" spans="1:11">
      <c r="A4" s="49" t="s">
        <v>223</v>
      </c>
      <c r="B4" s="49" t="s">
        <v>0</v>
      </c>
      <c r="C4" s="50" t="s">
        <v>2</v>
      </c>
      <c r="D4" s="50" t="s">
        <v>3</v>
      </c>
      <c r="E4" s="50" t="s">
        <v>4</v>
      </c>
      <c r="F4" s="50" t="s">
        <v>5</v>
      </c>
      <c r="G4" s="50" t="s">
        <v>6</v>
      </c>
      <c r="H4" s="50" t="s">
        <v>164</v>
      </c>
      <c r="I4" s="50" t="s">
        <v>163</v>
      </c>
    </row>
    <row r="5" spans="1:11">
      <c r="A5" s="36">
        <v>1</v>
      </c>
      <c r="B5" s="36" t="s">
        <v>874</v>
      </c>
      <c r="C5" s="37"/>
      <c r="D5" s="37"/>
      <c r="E5" s="37"/>
      <c r="F5" s="37"/>
      <c r="G5" s="37"/>
      <c r="H5" s="37"/>
      <c r="I5" s="37"/>
    </row>
    <row r="6" spans="1:11">
      <c r="A6" s="36"/>
      <c r="B6" s="38" t="s">
        <v>353</v>
      </c>
      <c r="C6" s="505">
        <f>+'6.Cons Profit &amp; Loss'!B19</f>
        <v>681.46</v>
      </c>
      <c r="D6" s="505">
        <f>+'6.Cons Profit &amp; Loss'!C19</f>
        <v>789.952</v>
      </c>
      <c r="E6" s="505">
        <f>+'6.Cons Profit &amp; Loss'!D19</f>
        <v>906.37722500000007</v>
      </c>
      <c r="F6" s="505">
        <f>+'6.Cons Profit &amp; Loss'!E19</f>
        <v>1032.7977150000002</v>
      </c>
      <c r="G6" s="505">
        <f>+'6.Cons Profit &amp; Loss'!F19</f>
        <v>1169.6144051666668</v>
      </c>
      <c r="H6" s="505">
        <f>+'6.Cons Profit &amp; Loss'!G19</f>
        <v>1316.2872839374998</v>
      </c>
      <c r="I6" s="505">
        <f>+'6.Cons Profit &amp; Loss'!H19</f>
        <v>1476.4242580099999</v>
      </c>
      <c r="K6" s="365"/>
    </row>
    <row r="7" spans="1:11">
      <c r="A7" s="36">
        <v>2</v>
      </c>
      <c r="B7" s="36" t="s">
        <v>224</v>
      </c>
      <c r="C7" s="505">
        <f>'1.Project Cost and MOF'!E19</f>
        <v>71.940567337328801</v>
      </c>
      <c r="D7" s="505"/>
      <c r="E7" s="505"/>
      <c r="F7" s="505"/>
      <c r="G7" s="505"/>
      <c r="H7" s="505"/>
      <c r="I7" s="505"/>
    </row>
    <row r="8" spans="1:11" ht="48" customHeight="1">
      <c r="A8" s="36"/>
      <c r="B8" s="510" t="str">
        <f>+'7.Balance Sheet'!A39</f>
        <v>Appropriation 45% for Investment reserve ( Distribution of Dividend and Bonus Shares)</v>
      </c>
      <c r="C8" s="505">
        <f>-'6.Cons Profit &amp; Loss'!B57</f>
        <v>-16.427250518615615</v>
      </c>
      <c r="D8" s="505">
        <f>-'6.Cons Profit &amp; Loss'!C57</f>
        <v>-21.185779575964112</v>
      </c>
      <c r="E8" s="505">
        <f>-'6.Cons Profit &amp; Loss'!D57</f>
        <v>-26.001572221705402</v>
      </c>
      <c r="F8" s="505">
        <f>-'6.Cons Profit &amp; Loss'!E57</f>
        <v>-31.449912107785988</v>
      </c>
      <c r="G8" s="505">
        <f>-'6.Cons Profit &amp; Loss'!F57</f>
        <v>-37.178858312244223</v>
      </c>
      <c r="H8" s="505">
        <f>-'6.Cons Profit &amp; Loss'!G57</f>
        <v>-42.619959734843121</v>
      </c>
      <c r="I8" s="505">
        <f>-'6.Cons Profit &amp; Loss'!H57</f>
        <v>-48.864956373950697</v>
      </c>
    </row>
    <row r="9" spans="1:11">
      <c r="A9" s="36">
        <v>3</v>
      </c>
      <c r="B9" s="36" t="str">
        <f>'7.Balance Sheet'!A35</f>
        <v>Smart Grant -in-Aid</v>
      </c>
      <c r="C9" s="505">
        <f>'1.Project Cost and MOF'!E20</f>
        <v>201.22830000000002</v>
      </c>
      <c r="D9" s="505"/>
      <c r="E9" s="505"/>
      <c r="F9" s="505"/>
      <c r="G9" s="505"/>
      <c r="H9" s="505"/>
      <c r="I9" s="505"/>
    </row>
    <row r="10" spans="1:11">
      <c r="A10" s="36">
        <v>4</v>
      </c>
      <c r="B10" s="36" t="s">
        <v>225</v>
      </c>
      <c r="C10" s="505">
        <f>'1.Project Cost and MOF'!E21</f>
        <v>67.076100000000011</v>
      </c>
      <c r="D10" s="505"/>
      <c r="E10" s="505"/>
      <c r="F10" s="505"/>
      <c r="G10" s="505"/>
      <c r="H10" s="505"/>
      <c r="I10" s="505"/>
    </row>
    <row r="11" spans="1:11">
      <c r="A11" s="36">
        <v>5</v>
      </c>
      <c r="B11" s="36" t="s">
        <v>226</v>
      </c>
      <c r="C11" s="505">
        <f>'5.Closing Stock &amp; W Capital'!E55*75%</f>
        <v>14.593402011986306</v>
      </c>
      <c r="D11" s="505">
        <f>+'7.Balance Sheet'!C25-'7.Balance Sheet'!B25</f>
        <v>23.30016194563354</v>
      </c>
      <c r="E11" s="505">
        <f>+'7.Balance Sheet'!D25-'7.Balance Sheet'!C25</f>
        <v>27.09275718503855</v>
      </c>
      <c r="F11" s="505">
        <f>+'7.Balance Sheet'!E25-'7.Balance Sheet'!D25</f>
        <v>32.032022992935509</v>
      </c>
      <c r="G11" s="505">
        <f>+'7.Balance Sheet'!F25-'7.Balance Sheet'!E25</f>
        <v>37.493647492874175</v>
      </c>
      <c r="H11" s="505">
        <f>+'7.Balance Sheet'!G25-'7.Balance Sheet'!F25</f>
        <v>43.457090545800895</v>
      </c>
      <c r="I11" s="505">
        <f>+'7.Balance Sheet'!H25-'7.Balance Sheet'!G25</f>
        <v>50.163727558282915</v>
      </c>
    </row>
    <row r="12" spans="1:11">
      <c r="A12" s="36">
        <v>6</v>
      </c>
      <c r="B12" s="36" t="s">
        <v>826</v>
      </c>
      <c r="C12" s="505">
        <f>+'7.Balance Sheet'!B26</f>
        <v>52.153637500000002</v>
      </c>
      <c r="D12" s="505">
        <f>+'7.Balance Sheet'!C26-'7.Balance Sheet'!B26</f>
        <v>6.904425625000016</v>
      </c>
      <c r="E12" s="505">
        <f>+'7.Balance Sheet'!D26-'7.Balance Sheet'!C26</f>
        <v>8.3083357395833133</v>
      </c>
      <c r="F12" s="505">
        <f>+'7.Balance Sheet'!E26-'7.Balance Sheet'!D26</f>
        <v>8.9757628587343845</v>
      </c>
      <c r="G12" s="505">
        <f>+'7.Balance Sheet'!F26-'7.Balance Sheet'!E26</f>
        <v>9.6807031464873887</v>
      </c>
      <c r="H12" s="505">
        <f>+'7.Balance Sheet'!G26-'7.Balance Sheet'!F26</f>
        <v>10.454238382996067</v>
      </c>
      <c r="I12" s="505">
        <f>+'7.Balance Sheet'!H26-'7.Balance Sheet'!G26</f>
        <v>11.33558055639898</v>
      </c>
    </row>
    <row r="13" spans="1:11">
      <c r="A13" s="36">
        <v>7</v>
      </c>
      <c r="B13" s="36" t="s">
        <v>827</v>
      </c>
      <c r="C13" s="505">
        <f>-'7.Balance Sheet'!B11-'7.Balance Sheet'!B9</f>
        <v>-71.611506849315077</v>
      </c>
      <c r="D13" s="505">
        <f>+'7.Balance Sheet'!B9+'7.Balance Sheet'!B11-'7.Balance Sheet'!C9-'7.Balance Sheet'!C11</f>
        <v>-37.971308219178063</v>
      </c>
      <c r="E13" s="505">
        <f>+'7.Balance Sheet'!C9+'7.Balance Sheet'!C11-'7.Balance Sheet'!D9-'7.Balance Sheet'!D11</f>
        <v>-44.432011986301362</v>
      </c>
      <c r="F13" s="505">
        <f>+'7.Balance Sheet'!D9+'7.Balance Sheet'!D11-'7.Balance Sheet'!E9-'7.Balance Sheet'!E11</f>
        <v>-51.685126849315083</v>
      </c>
      <c r="G13" s="505">
        <f>+'7.Balance Sheet'!E9+'7.Balance Sheet'!E11-'7.Balance Sheet'!F9-'7.Balance Sheet'!F11</f>
        <v>-59.672233136986279</v>
      </c>
      <c r="H13" s="505">
        <f>+'7.Balance Sheet'!F9+'7.Balance Sheet'!F11-'7.Balance Sheet'!G9-'7.Balance Sheet'!G11</f>
        <v>-68.397025777397232</v>
      </c>
      <c r="I13" s="505">
        <f>+'7.Balance Sheet'!G9+'7.Balance Sheet'!G11-'7.Balance Sheet'!H9-'7.Balance Sheet'!H11</f>
        <v>-78.220550634109543</v>
      </c>
    </row>
    <row r="14" spans="1:11">
      <c r="A14" s="36"/>
      <c r="B14" s="36" t="s">
        <v>227</v>
      </c>
      <c r="C14" s="506">
        <f>SUM(C6:C13)</f>
        <v>1000.4132494813845</v>
      </c>
      <c r="D14" s="506">
        <f t="shared" ref="D14:I14" si="0">SUM(D6:D13)</f>
        <v>760.99949977549147</v>
      </c>
      <c r="E14" s="506">
        <f t="shared" si="0"/>
        <v>871.34473371661511</v>
      </c>
      <c r="F14" s="506">
        <f t="shared" si="0"/>
        <v>990.67046189456914</v>
      </c>
      <c r="G14" s="506">
        <f t="shared" si="0"/>
        <v>1119.9376643567978</v>
      </c>
      <c r="H14" s="506">
        <f t="shared" si="0"/>
        <v>1259.1816273540562</v>
      </c>
      <c r="I14" s="506">
        <f t="shared" si="0"/>
        <v>1410.8380591166217</v>
      </c>
    </row>
    <row r="15" spans="1:11">
      <c r="A15" s="753" t="s">
        <v>228</v>
      </c>
      <c r="B15" s="753"/>
      <c r="C15" s="507"/>
      <c r="D15" s="507"/>
      <c r="E15" s="507"/>
      <c r="F15" s="507"/>
      <c r="G15" s="507"/>
      <c r="H15" s="507"/>
      <c r="I15" s="507"/>
    </row>
    <row r="16" spans="1:11">
      <c r="A16" s="36">
        <v>1</v>
      </c>
      <c r="B16" s="36" t="s">
        <v>229</v>
      </c>
      <c r="C16" s="507"/>
      <c r="D16" s="507"/>
      <c r="E16" s="507"/>
      <c r="F16" s="507"/>
      <c r="G16" s="507"/>
      <c r="H16" s="507"/>
      <c r="I16" s="507"/>
    </row>
    <row r="17" spans="1:18">
      <c r="A17" s="40" t="s">
        <v>230</v>
      </c>
      <c r="B17" s="39" t="str">
        <f>'[2]Total Cost of Project'!C3</f>
        <v>Land and Building</v>
      </c>
      <c r="C17" s="505">
        <f>'1.Project Cost and MOF'!D5</f>
        <v>175.06</v>
      </c>
      <c r="D17" s="505"/>
      <c r="E17" s="505"/>
      <c r="F17" s="505"/>
      <c r="G17" s="505"/>
      <c r="H17" s="505"/>
      <c r="I17" s="505"/>
    </row>
    <row r="18" spans="1:18">
      <c r="A18" s="40" t="s">
        <v>231</v>
      </c>
      <c r="B18" s="41" t="str">
        <f>'[2]Total Cost of Project'!C4</f>
        <v>Machinery and Equipment</v>
      </c>
      <c r="C18" s="505">
        <f>'1.Project Cost and MOF'!D6</f>
        <v>144.35000000000002</v>
      </c>
      <c r="D18" s="505"/>
      <c r="E18" s="505"/>
      <c r="F18" s="505"/>
      <c r="G18" s="505"/>
      <c r="H18" s="505"/>
      <c r="I18" s="505"/>
    </row>
    <row r="19" spans="1:18">
      <c r="A19" s="40" t="s">
        <v>267</v>
      </c>
      <c r="B19" s="41" t="s">
        <v>319</v>
      </c>
      <c r="C19" s="505">
        <f>'1.Project Cost and MOF'!D7</f>
        <v>0</v>
      </c>
      <c r="D19" s="505"/>
      <c r="E19" s="505"/>
      <c r="F19" s="505"/>
      <c r="G19" s="505"/>
      <c r="H19" s="505"/>
      <c r="I19" s="505"/>
    </row>
    <row r="20" spans="1:18">
      <c r="A20" s="40" t="s">
        <v>269</v>
      </c>
      <c r="B20" s="41" t="s">
        <v>321</v>
      </c>
      <c r="C20" s="505">
        <f>'1.Project Cost and MOF'!D8</f>
        <v>0</v>
      </c>
      <c r="D20" s="505"/>
      <c r="E20" s="505"/>
      <c r="F20" s="505"/>
      <c r="G20" s="505"/>
      <c r="H20" s="505"/>
      <c r="I20" s="505"/>
    </row>
    <row r="21" spans="1:18">
      <c r="A21" s="40" t="s">
        <v>322</v>
      </c>
      <c r="B21" s="41" t="s">
        <v>268</v>
      </c>
      <c r="C21" s="505">
        <f>'1.Project Cost and MOF'!D9</f>
        <v>0</v>
      </c>
      <c r="D21" s="505"/>
      <c r="E21" s="505"/>
      <c r="F21" s="505"/>
      <c r="G21" s="505"/>
      <c r="H21" s="505"/>
      <c r="I21" s="505"/>
    </row>
    <row r="22" spans="1:18">
      <c r="A22" s="40" t="s">
        <v>323</v>
      </c>
      <c r="B22" s="41" t="s">
        <v>270</v>
      </c>
      <c r="C22" s="505">
        <f>'1.Project Cost and MOF'!D10</f>
        <v>15.970500000000001</v>
      </c>
      <c r="D22" s="505"/>
      <c r="E22" s="505"/>
      <c r="F22" s="505"/>
      <c r="G22" s="505"/>
      <c r="H22" s="505"/>
      <c r="I22" s="505"/>
    </row>
    <row r="23" spans="1:18">
      <c r="A23" s="36">
        <v>2</v>
      </c>
      <c r="B23" s="36" t="s">
        <v>232</v>
      </c>
      <c r="C23" s="507"/>
      <c r="D23" s="507"/>
      <c r="E23" s="507"/>
      <c r="F23" s="507"/>
      <c r="G23" s="507"/>
      <c r="H23" s="507"/>
      <c r="I23" s="507"/>
    </row>
    <row r="24" spans="1:18">
      <c r="A24" s="40" t="s">
        <v>230</v>
      </c>
      <c r="B24" s="39" t="s">
        <v>302</v>
      </c>
      <c r="C24" s="508">
        <f>'6.Cons Profit &amp; Loss'!B29</f>
        <v>593.84850000000006</v>
      </c>
      <c r="D24" s="508">
        <f>'6.Cons Profit &amp; Loss'!C29</f>
        <v>684.38335000000006</v>
      </c>
      <c r="E24" s="508">
        <f>'6.Cons Profit &amp; Loss'!D29</f>
        <v>782.83820000000003</v>
      </c>
      <c r="F24" s="508">
        <f>'6.Cons Profit &amp; Loss'!E29</f>
        <v>889.20305000000008</v>
      </c>
      <c r="G24" s="508">
        <f>'6.Cons Profit &amp; Loss'!F29</f>
        <v>1003.9078999999998</v>
      </c>
      <c r="H24" s="508">
        <f>'6.Cons Profit &amp; Loss'!G29</f>
        <v>1127.7387499999998</v>
      </c>
      <c r="I24" s="508">
        <f>'6.Cons Profit &amp; Loss'!H29</f>
        <v>1261.9376000000002</v>
      </c>
      <c r="K24" s="365">
        <f t="shared" ref="K24:R24" si="1">+C6-C24-C25</f>
        <v>64.896349999999984</v>
      </c>
      <c r="L24" s="365">
        <f t="shared" si="1"/>
        <v>81.719242499999936</v>
      </c>
      <c r="M24" s="365">
        <f t="shared" si="1"/>
        <v>98.468438625000033</v>
      </c>
      <c r="N24" s="365">
        <f t="shared" si="1"/>
        <v>117.20377432018756</v>
      </c>
      <c r="O24" s="365">
        <f t="shared" si="1"/>
        <v>137.87602672900539</v>
      </c>
      <c r="P24" s="365">
        <f t="shared" si="1"/>
        <v>159.12604490388568</v>
      </c>
      <c r="Q24" s="365">
        <f t="shared" si="1"/>
        <v>183.26405229959786</v>
      </c>
      <c r="R24" s="365">
        <f t="shared" si="1"/>
        <v>0</v>
      </c>
    </row>
    <row r="25" spans="1:18">
      <c r="A25" s="40" t="s">
        <v>231</v>
      </c>
      <c r="B25" s="39" t="s">
        <v>300</v>
      </c>
      <c r="C25" s="505">
        <f>'6.Cons Profit &amp; Loss'!B40</f>
        <v>22.715150000000001</v>
      </c>
      <c r="D25" s="505">
        <f>'6.Cons Profit &amp; Loss'!C40</f>
        <v>23.849407499999998</v>
      </c>
      <c r="E25" s="505">
        <f>'6.Cons Profit &amp; Loss'!D40</f>
        <v>25.070586375000001</v>
      </c>
      <c r="F25" s="505">
        <f>'6.Cons Profit &amp; Loss'!E40</f>
        <v>26.390890679812507</v>
      </c>
      <c r="G25" s="505">
        <f>'6.Cons Profit &amp; Loss'!F40</f>
        <v>27.83047843766154</v>
      </c>
      <c r="H25" s="505">
        <f>'6.Cons Profit &amp; Loss'!G40</f>
        <v>29.422489033614312</v>
      </c>
      <c r="I25" s="505">
        <f>'6.Cons Profit &amp; Loss'!H40</f>
        <v>31.22260571040183</v>
      </c>
    </row>
    <row r="26" spans="1:18">
      <c r="A26" s="42">
        <v>3</v>
      </c>
      <c r="B26" s="36" t="s">
        <v>493</v>
      </c>
      <c r="C26" s="505"/>
      <c r="D26" s="505"/>
      <c r="E26" s="505"/>
      <c r="F26" s="505"/>
      <c r="G26" s="505"/>
      <c r="H26" s="505"/>
      <c r="I26" s="505"/>
    </row>
    <row r="27" spans="1:18">
      <c r="A27" s="40"/>
      <c r="B27" s="39" t="s">
        <v>233</v>
      </c>
      <c r="C27" s="505">
        <f>SUM('4.TL repayment sch'!E10:E21)</f>
        <v>8.3428501982601873</v>
      </c>
      <c r="D27" s="505">
        <f>SUM('4.TL repayment sch'!E22:E33)</f>
        <v>17.8508556200768</v>
      </c>
      <c r="E27" s="505">
        <f>SUM('4.TL repayment sch'!E34:E45)</f>
        <v>19.52538900656884</v>
      </c>
      <c r="F27" s="505">
        <f>SUM('4.TL repayment sch'!E46:E57)</f>
        <v>21.35700517509418</v>
      </c>
      <c r="G27" s="505">
        <f>SUM('4.TL repayment sch'!E58:E69)</f>
        <v>2.3980817331903381E-14</v>
      </c>
      <c r="H27" s="505">
        <f>SUM('4.TL repayment sch'!E70:E81)</f>
        <v>2.3980817331903381E-14</v>
      </c>
      <c r="I27" s="505">
        <f>SUM('4.TL repayment sch'!E82:E93)</f>
        <v>2.3980817331903381E-14</v>
      </c>
    </row>
    <row r="28" spans="1:18">
      <c r="A28" s="40"/>
      <c r="B28" s="39" t="s">
        <v>234</v>
      </c>
      <c r="C28" s="505">
        <f>SUM('4.TL repayment sch'!D10:D21)</f>
        <v>5.8817841534088577</v>
      </c>
      <c r="D28" s="505">
        <f>SUM('4.TL repayment sch'!D22:D33)</f>
        <v>4.5615640832612856</v>
      </c>
      <c r="E28" s="505">
        <f>SUM('4.TL repayment sch'!D34:D45)</f>
        <v>2.8870306967692487</v>
      </c>
      <c r="F28" s="505">
        <f>SUM('4.TL repayment sch'!D46:D57)</f>
        <v>1.0554145282439082</v>
      </c>
      <c r="G28" s="505">
        <f>SUM('4.TL repayment sch'!D58:D69)</f>
        <v>2.3980817331903381E-14</v>
      </c>
      <c r="H28" s="505">
        <f>SUM('4.TL repayment sch'!D70:D81)</f>
        <v>2.3980817331903381E-14</v>
      </c>
      <c r="I28" s="505">
        <f>SUM('4.TL repayment sch'!D82:D93)</f>
        <v>2.3980817331903381E-14</v>
      </c>
    </row>
    <row r="29" spans="1:18">
      <c r="A29" s="40"/>
      <c r="B29" s="39" t="s">
        <v>235</v>
      </c>
      <c r="C29" s="505">
        <v>0</v>
      </c>
      <c r="D29" s="505">
        <v>0</v>
      </c>
      <c r="E29" s="505">
        <v>0</v>
      </c>
      <c r="F29" s="505">
        <v>0</v>
      </c>
      <c r="G29" s="505">
        <v>0</v>
      </c>
      <c r="H29" s="505">
        <v>0</v>
      </c>
      <c r="I29" s="505">
        <v>0</v>
      </c>
    </row>
    <row r="30" spans="1:18">
      <c r="A30" s="40"/>
      <c r="B30" s="39" t="s">
        <v>236</v>
      </c>
      <c r="C30" s="505">
        <f>+'6.Cons Profit &amp; Loss'!B52</f>
        <v>1.3134061810787676</v>
      </c>
      <c r="D30" s="509">
        <f>+'6.Cons Profit &amp; Loss'!C52</f>
        <v>3.4104207561857862</v>
      </c>
      <c r="E30" s="509">
        <f>+'6.Cons Profit &amp; Loss'!D52</f>
        <v>5.8487689028392555</v>
      </c>
      <c r="F30" s="509">
        <f>+'6.Cons Profit &amp; Loss'!E52</f>
        <v>8.7316509722034521</v>
      </c>
      <c r="G30" s="509">
        <f>+'6.Cons Profit &amp; Loss'!F52</f>
        <v>12.106079246562127</v>
      </c>
      <c r="H30" s="509">
        <f>+'6.Cons Profit &amp; Loss'!G52</f>
        <v>16.017217395684206</v>
      </c>
      <c r="I30" s="509">
        <f>+'6.Cons Profit &amp; Loss'!H52</f>
        <v>20.531952875929669</v>
      </c>
    </row>
    <row r="31" spans="1:18">
      <c r="A31" s="36">
        <v>4</v>
      </c>
      <c r="B31" s="36" t="s">
        <v>237</v>
      </c>
      <c r="C31" s="505">
        <f>+'6.Cons Profit &amp; Loss'!B55</f>
        <v>4.2279015130332116</v>
      </c>
      <c r="D31" s="505">
        <f>+'6.Cons Profit &amp; Loss'!C55</f>
        <v>9.6994904917437488</v>
      </c>
      <c r="E31" s="505">
        <f>+'6.Cons Profit &amp; Loss'!D55</f>
        <v>14.983110421601816</v>
      </c>
      <c r="F31" s="505">
        <f>+'6.Cons Profit &amp; Loss'!E55</f>
        <v>20.559758246882453</v>
      </c>
      <c r="G31" s="505">
        <f>+'6.Cons Profit &amp; Loss'!F55</f>
        <v>26.182005344122739</v>
      </c>
      <c r="H31" s="505">
        <f>+'6.Cons Profit &amp; Loss'!G55</f>
        <v>31.42954887521676</v>
      </c>
      <c r="I31" s="505">
        <f>+'6.Cons Profit &amp; Loss'!H55</f>
        <v>37.175050481555417</v>
      </c>
    </row>
    <row r="32" spans="1:18">
      <c r="A32" s="36"/>
      <c r="B32" s="36" t="s">
        <v>238</v>
      </c>
      <c r="C32" s="510">
        <f t="shared" ref="C32:I32" si="2">SUM(C17:C31)</f>
        <v>971.71009204578104</v>
      </c>
      <c r="D32" s="510">
        <f t="shared" si="2"/>
        <v>743.75508845126762</v>
      </c>
      <c r="E32" s="510">
        <f t="shared" si="2"/>
        <v>851.1530854027792</v>
      </c>
      <c r="F32" s="510">
        <f t="shared" si="2"/>
        <v>967.29776960223649</v>
      </c>
      <c r="G32" s="510">
        <f t="shared" si="2"/>
        <v>1070.0264630283461</v>
      </c>
      <c r="H32" s="510">
        <f t="shared" si="2"/>
        <v>1204.608005304515</v>
      </c>
      <c r="I32" s="510">
        <f t="shared" si="2"/>
        <v>1350.8672090678872</v>
      </c>
    </row>
    <row r="33" spans="1:10">
      <c r="A33" s="36"/>
      <c r="B33" s="36" t="s">
        <v>239</v>
      </c>
      <c r="C33" s="510">
        <f t="shared" ref="C33:I33" si="3">C14-C32</f>
        <v>28.70315743560343</v>
      </c>
      <c r="D33" s="510">
        <f t="shared" si="3"/>
        <v>17.244411324223847</v>
      </c>
      <c r="E33" s="510">
        <f t="shared" si="3"/>
        <v>20.191648313835913</v>
      </c>
      <c r="F33" s="510">
        <f t="shared" si="3"/>
        <v>23.372692292332658</v>
      </c>
      <c r="G33" s="510">
        <f t="shared" si="3"/>
        <v>49.911201328451625</v>
      </c>
      <c r="H33" s="510">
        <f t="shared" si="3"/>
        <v>54.5736220495412</v>
      </c>
      <c r="I33" s="510">
        <f t="shared" si="3"/>
        <v>59.970850048734519</v>
      </c>
    </row>
    <row r="34" spans="1:10">
      <c r="A34" s="42"/>
      <c r="B34" s="39" t="s">
        <v>240</v>
      </c>
      <c r="C34" s="507"/>
      <c r="D34" s="507">
        <f t="shared" ref="D34:I34" si="4">C35</f>
        <v>28.70315743560343</v>
      </c>
      <c r="E34" s="507">
        <f t="shared" si="4"/>
        <v>45.947568759827277</v>
      </c>
      <c r="F34" s="507">
        <f t="shared" si="4"/>
        <v>66.13921707366319</v>
      </c>
      <c r="G34" s="507">
        <f t="shared" si="4"/>
        <v>89.511909365995848</v>
      </c>
      <c r="H34" s="507">
        <f t="shared" si="4"/>
        <v>139.42311069444747</v>
      </c>
      <c r="I34" s="507">
        <f t="shared" si="4"/>
        <v>193.99673274398867</v>
      </c>
    </row>
    <row r="35" spans="1:10">
      <c r="A35" s="36"/>
      <c r="B35" s="43" t="s">
        <v>241</v>
      </c>
      <c r="C35" s="510">
        <f t="shared" ref="C35:I35" si="5">C33+C34</f>
        <v>28.70315743560343</v>
      </c>
      <c r="D35" s="510">
        <f t="shared" si="5"/>
        <v>45.947568759827277</v>
      </c>
      <c r="E35" s="510">
        <f t="shared" si="5"/>
        <v>66.13921707366319</v>
      </c>
      <c r="F35" s="510">
        <f t="shared" si="5"/>
        <v>89.511909365995848</v>
      </c>
      <c r="G35" s="510">
        <f t="shared" si="5"/>
        <v>139.42311069444747</v>
      </c>
      <c r="H35" s="510">
        <f t="shared" si="5"/>
        <v>193.99673274398867</v>
      </c>
      <c r="I35" s="510">
        <f t="shared" si="5"/>
        <v>253.96758279272319</v>
      </c>
    </row>
    <row r="36" spans="1:10">
      <c r="A36" s="140"/>
      <c r="B36" s="531"/>
      <c r="C36" s="532">
        <f>+'7.Balance Sheet'!B8</f>
        <v>28.70315743560343</v>
      </c>
      <c r="D36" s="532">
        <f>+'7.Balance Sheet'!C8</f>
        <v>45.947568759827277</v>
      </c>
      <c r="E36" s="532">
        <f>+'7.Balance Sheet'!D8</f>
        <v>66.13921707366319</v>
      </c>
      <c r="F36" s="532">
        <f>+'7.Balance Sheet'!E8</f>
        <v>89.511909365995848</v>
      </c>
      <c r="G36" s="532">
        <f>+'7.Balance Sheet'!F8</f>
        <v>139.42311069444747</v>
      </c>
      <c r="H36" s="532">
        <f>+'7.Balance Sheet'!G8</f>
        <v>193.99673274398867</v>
      </c>
      <c r="I36" s="532">
        <f>+'7.Balance Sheet'!H8</f>
        <v>253.96758279272319</v>
      </c>
    </row>
    <row r="37" spans="1:10">
      <c r="C37" s="365">
        <f>+C35-C36</f>
        <v>0</v>
      </c>
      <c r="D37" s="365">
        <f t="shared" ref="D37:I37" si="6">+D35-D36</f>
        <v>0</v>
      </c>
      <c r="E37" s="365">
        <f t="shared" si="6"/>
        <v>0</v>
      </c>
      <c r="F37" s="365">
        <f t="shared" si="6"/>
        <v>0</v>
      </c>
      <c r="G37" s="365">
        <f t="shared" si="6"/>
        <v>0</v>
      </c>
      <c r="H37" s="365">
        <f t="shared" si="6"/>
        <v>0</v>
      </c>
      <c r="I37" s="365">
        <f t="shared" si="6"/>
        <v>0</v>
      </c>
    </row>
    <row r="38" spans="1:10" ht="39.950000000000003" customHeight="1">
      <c r="A38" s="754" t="s">
        <v>398</v>
      </c>
      <c r="B38" s="754"/>
      <c r="C38" s="754"/>
      <c r="D38" s="754"/>
      <c r="E38" s="754"/>
      <c r="F38" s="754"/>
      <c r="G38" s="754"/>
      <c r="H38" s="754"/>
      <c r="I38" s="754"/>
      <c r="J38" s="601"/>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10.Grain Production details</vt:lpstr>
      <vt:lpstr>8.Cash Flow </vt:lpstr>
      <vt:lpstr>3.Other Exp &amp; Taxes</vt:lpstr>
      <vt:lpstr>9. Financial indiacators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2022-11-02T09:52:22Z</dcterms:modified>
  <cp:contentStatus/>
</cp:coreProperties>
</file>